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VE\Documents\PUBLICACION EN PAGINA UPVE COORDINACION\"/>
    </mc:Choice>
  </mc:AlternateContent>
  <bookViews>
    <workbookView xWindow="0" yWindow="0" windowWidth="20400" windowHeight="706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1" i="1" l="1"/>
  <c r="AC55" i="1"/>
  <c r="AB51" i="1"/>
  <c r="V51" i="1"/>
  <c r="N51" i="1"/>
  <c r="I51" i="1"/>
  <c r="X50" i="1"/>
  <c r="U50" i="1"/>
  <c r="T50" i="1"/>
  <c r="Q50" i="1"/>
  <c r="P50" i="1"/>
  <c r="O50" i="1"/>
  <c r="L50" i="1"/>
  <c r="J50" i="1"/>
  <c r="H50" i="1"/>
  <c r="G50" i="1"/>
  <c r="D50" i="1"/>
  <c r="AC50" i="1" s="1"/>
  <c r="Z49" i="1"/>
  <c r="Y49" i="1"/>
  <c r="Y51" i="1" s="1"/>
  <c r="U49" i="1"/>
  <c r="S49" i="1"/>
  <c r="Q49" i="1"/>
  <c r="O49" i="1"/>
  <c r="M49" i="1"/>
  <c r="L49" i="1"/>
  <c r="K49" i="1"/>
  <c r="J49" i="1"/>
  <c r="G49" i="1"/>
  <c r="E49" i="1"/>
  <c r="D49" i="1"/>
  <c r="AC49" i="1" s="1"/>
  <c r="W48" i="1"/>
  <c r="U48" i="1"/>
  <c r="Q48" i="1"/>
  <c r="O48" i="1"/>
  <c r="J48" i="1"/>
  <c r="H48" i="1"/>
  <c r="G48" i="1"/>
  <c r="E48" i="1"/>
  <c r="E51" i="1" s="1"/>
  <c r="D48" i="1"/>
  <c r="U47" i="1"/>
  <c r="O47" i="1"/>
  <c r="M47" i="1"/>
  <c r="L47" i="1"/>
  <c r="G47" i="1"/>
  <c r="D47" i="1"/>
  <c r="AC47" i="1" s="1"/>
  <c r="W46" i="1"/>
  <c r="T46" i="1"/>
  <c r="O46" i="1"/>
  <c r="N46" i="1"/>
  <c r="K46" i="1"/>
  <c r="H46" i="1"/>
  <c r="G46" i="1"/>
  <c r="D46" i="1"/>
  <c r="AC46" i="1" s="1"/>
  <c r="Z45" i="1"/>
  <c r="Q45" i="1"/>
  <c r="O45" i="1"/>
  <c r="L45" i="1"/>
  <c r="G45" i="1"/>
  <c r="D45" i="1"/>
  <c r="AC45" i="1" s="1"/>
  <c r="AA44" i="1"/>
  <c r="W44" i="1"/>
  <c r="U44" i="1"/>
  <c r="U51" i="1" s="1"/>
  <c r="R44" i="1"/>
  <c r="Q44" i="1"/>
  <c r="P44" i="1"/>
  <c r="O44" i="1"/>
  <c r="L44" i="1"/>
  <c r="J44" i="1"/>
  <c r="H44" i="1"/>
  <c r="G44" i="1"/>
  <c r="E44" i="1"/>
  <c r="D44" i="1"/>
  <c r="AC44" i="1" s="1"/>
  <c r="Z43" i="1"/>
  <c r="Z51" i="1" s="1"/>
  <c r="X43" i="1"/>
  <c r="W43" i="1"/>
  <c r="S43" i="1"/>
  <c r="S51" i="1" s="1"/>
  <c r="R43" i="1"/>
  <c r="R51" i="1" s="1"/>
  <c r="Q43" i="1"/>
  <c r="P43" i="1"/>
  <c r="O43" i="1"/>
  <c r="M43" i="1"/>
  <c r="M51" i="1" s="1"/>
  <c r="L43" i="1"/>
  <c r="K43" i="1"/>
  <c r="G43" i="1"/>
  <c r="F43" i="1"/>
  <c r="AC43" i="1" s="1"/>
  <c r="D43" i="1"/>
  <c r="X42" i="1"/>
  <c r="W42" i="1"/>
  <c r="U42" i="1"/>
  <c r="Q42" i="1"/>
  <c r="J42" i="1"/>
  <c r="J51" i="1" s="1"/>
  <c r="G42" i="1"/>
  <c r="E42" i="1"/>
  <c r="D42" i="1"/>
  <c r="AC42" i="1" s="1"/>
  <c r="X41" i="1"/>
  <c r="W41" i="1"/>
  <c r="U41" i="1"/>
  <c r="T41" i="1"/>
  <c r="T51" i="1" s="1"/>
  <c r="Q41" i="1"/>
  <c r="Q51" i="1" s="1"/>
  <c r="O41" i="1"/>
  <c r="O51" i="1" s="1"/>
  <c r="N41" i="1"/>
  <c r="L41" i="1"/>
  <c r="K41" i="1"/>
  <c r="J41" i="1"/>
  <c r="G41" i="1"/>
  <c r="D41" i="1"/>
  <c r="AC41" i="1" s="1"/>
  <c r="AC40" i="1"/>
  <c r="AA40" i="1"/>
  <c r="W40" i="1"/>
  <c r="Q40" i="1"/>
  <c r="P40" i="1"/>
  <c r="L40" i="1"/>
  <c r="H40" i="1"/>
  <c r="H51" i="1" s="1"/>
  <c r="G40" i="1"/>
  <c r="F40" i="1"/>
  <c r="F51" i="1" s="1"/>
  <c r="E40" i="1"/>
  <c r="D40" i="1"/>
  <c r="AA39" i="1"/>
  <c r="AA51" i="1" s="1"/>
  <c r="X39" i="1"/>
  <c r="X51" i="1" s="1"/>
  <c r="W39" i="1"/>
  <c r="W51" i="1" s="1"/>
  <c r="Q39" i="1"/>
  <c r="P39" i="1"/>
  <c r="P51" i="1" s="1"/>
  <c r="M39" i="1"/>
  <c r="L39" i="1"/>
  <c r="L51" i="1" s="1"/>
  <c r="K39" i="1"/>
  <c r="K51" i="1" s="1"/>
  <c r="G39" i="1"/>
  <c r="G51" i="1" s="1"/>
  <c r="F39" i="1"/>
  <c r="E39" i="1"/>
  <c r="D39" i="1"/>
  <c r="D51" i="1" s="1"/>
  <c r="AB24" i="1"/>
  <c r="Z20" i="1"/>
  <c r="Y20" i="1"/>
  <c r="V20" i="1"/>
  <c r="T20" i="1"/>
  <c r="I20" i="1"/>
  <c r="E20" i="1"/>
  <c r="X19" i="1"/>
  <c r="W19" i="1"/>
  <c r="P19" i="1"/>
  <c r="N19" i="1"/>
  <c r="L19" i="1"/>
  <c r="G19" i="1"/>
  <c r="F19" i="1"/>
  <c r="D19" i="1"/>
  <c r="AB19" i="1" s="1"/>
  <c r="R18" i="1"/>
  <c r="Q18" i="1"/>
  <c r="P18" i="1"/>
  <c r="N18" i="1"/>
  <c r="L18" i="1"/>
  <c r="K18" i="1"/>
  <c r="H18" i="1"/>
  <c r="D18" i="1"/>
  <c r="AB18" i="1" s="1"/>
  <c r="W17" i="1"/>
  <c r="Q17" i="1"/>
  <c r="N17" i="1"/>
  <c r="M17" i="1"/>
  <c r="L17" i="1"/>
  <c r="J17" i="1"/>
  <c r="G17" i="1"/>
  <c r="F17" i="1"/>
  <c r="AB17" i="1" s="1"/>
  <c r="E17" i="1"/>
  <c r="D17" i="1"/>
  <c r="X16" i="1"/>
  <c r="W16" i="1"/>
  <c r="Q16" i="1"/>
  <c r="P16" i="1"/>
  <c r="N16" i="1"/>
  <c r="L16" i="1"/>
  <c r="I16" i="1"/>
  <c r="H16" i="1"/>
  <c r="G16" i="1"/>
  <c r="AB16" i="1" s="1"/>
  <c r="F16" i="1"/>
  <c r="D16" i="1"/>
  <c r="X15" i="1"/>
  <c r="W15" i="1"/>
  <c r="S15" i="1"/>
  <c r="S20" i="1" s="1"/>
  <c r="R15" i="1"/>
  <c r="Q15" i="1"/>
  <c r="P15" i="1"/>
  <c r="L15" i="1"/>
  <c r="K15" i="1"/>
  <c r="G15" i="1"/>
  <c r="F15" i="1"/>
  <c r="E15" i="1"/>
  <c r="D15" i="1"/>
  <c r="AB15" i="1" s="1"/>
  <c r="W14" i="1"/>
  <c r="P14" i="1"/>
  <c r="N14" i="1"/>
  <c r="M14" i="1"/>
  <c r="M20" i="1" s="1"/>
  <c r="L14" i="1"/>
  <c r="I14" i="1"/>
  <c r="H14" i="1"/>
  <c r="G14" i="1"/>
  <c r="AB14" i="1" s="1"/>
  <c r="F14" i="1"/>
  <c r="E14" i="1"/>
  <c r="D14" i="1"/>
  <c r="X13" i="1"/>
  <c r="W13" i="1"/>
  <c r="R13" i="1"/>
  <c r="Q13" i="1"/>
  <c r="Q20" i="1" s="1"/>
  <c r="P13" i="1"/>
  <c r="N13" i="1"/>
  <c r="L13" i="1"/>
  <c r="K13" i="1"/>
  <c r="AB13" i="1" s="1"/>
  <c r="F13" i="1"/>
  <c r="D13" i="1"/>
  <c r="W12" i="1"/>
  <c r="R12" i="1"/>
  <c r="R20" i="1" s="1"/>
  <c r="Q12" i="1"/>
  <c r="P12" i="1"/>
  <c r="N12" i="1"/>
  <c r="L12" i="1"/>
  <c r="J12" i="1"/>
  <c r="J20" i="1" s="1"/>
  <c r="H12" i="1"/>
  <c r="G12" i="1"/>
  <c r="F12" i="1"/>
  <c r="E12" i="1"/>
  <c r="D12" i="1"/>
  <c r="AB12" i="1" s="1"/>
  <c r="AA11" i="1"/>
  <c r="AA20" i="1" s="1"/>
  <c r="X11" i="1"/>
  <c r="X20" i="1" s="1"/>
  <c r="W11" i="1"/>
  <c r="W20" i="1" s="1"/>
  <c r="U11" i="1"/>
  <c r="U20" i="1" s="1"/>
  <c r="Q11" i="1"/>
  <c r="O11" i="1"/>
  <c r="O20" i="1" s="1"/>
  <c r="N11" i="1"/>
  <c r="N20" i="1" s="1"/>
  <c r="L11" i="1"/>
  <c r="K11" i="1"/>
  <c r="H11" i="1"/>
  <c r="G11" i="1"/>
  <c r="F11" i="1"/>
  <c r="AB11" i="1" s="1"/>
  <c r="D11" i="1"/>
  <c r="L10" i="1"/>
  <c r="L20" i="1" s="1"/>
  <c r="H10" i="1"/>
  <c r="H20" i="1" s="1"/>
  <c r="G10" i="1"/>
  <c r="F10" i="1"/>
  <c r="F20" i="1" s="1"/>
  <c r="E10" i="1"/>
  <c r="D10" i="1"/>
  <c r="AB10" i="1" s="1"/>
  <c r="P9" i="1"/>
  <c r="P20" i="1" s="1"/>
  <c r="K9" i="1"/>
  <c r="K20" i="1" s="1"/>
  <c r="G9" i="1"/>
  <c r="D9" i="1"/>
  <c r="AB9" i="1" s="1"/>
  <c r="I8" i="1"/>
  <c r="G8" i="1"/>
  <c r="G20" i="1" s="1"/>
  <c r="D8" i="1"/>
  <c r="AB8" i="1" s="1"/>
  <c r="AC56" i="1" l="1"/>
  <c r="AC48" i="1"/>
  <c r="AC39" i="1"/>
  <c r="AC51" i="1" s="1"/>
  <c r="AB20" i="1"/>
  <c r="AB23" i="1" s="1"/>
  <c r="D20" i="1"/>
</calcChain>
</file>

<file path=xl/sharedStrings.xml><?xml version="1.0" encoding="utf-8"?>
<sst xmlns="http://schemas.openxmlformats.org/spreadsheetml/2006/main" count="98" uniqueCount="58">
  <si>
    <t xml:space="preserve">UNIVERSIDAD POLITÉCNICA DEL VALLE DEL EVORA </t>
  </si>
  <si>
    <t>EJERCICIO 2018</t>
  </si>
  <si>
    <t>APORTACIÓN FEDERAL</t>
  </si>
  <si>
    <t>MES</t>
  </si>
  <si>
    <t>SERVICIOS PERSONALES</t>
  </si>
  <si>
    <t>SERVICIO TELEFONIA TRADICIONAL</t>
  </si>
  <si>
    <t>SERVICIO TELEFONIA CELULAR</t>
  </si>
  <si>
    <t>SERVICIOS FINANCIEROS Y BANCARIOS</t>
  </si>
  <si>
    <t>ENERGIA ELECTRICA</t>
  </si>
  <si>
    <t>SEGURO DE BIENES MUEBLES E INMUEBLES</t>
  </si>
  <si>
    <t>SERVICIO DE LAVANDERIA Y LIMPIEZA</t>
  </si>
  <si>
    <t>SERVICIO DE VIGILANCIA</t>
  </si>
  <si>
    <t>VIATICOS, ALIMENTACION, HOSPEDAJEY OTROS</t>
  </si>
  <si>
    <t>SERVICIO DE AGUA POTABLE</t>
  </si>
  <si>
    <t>IMPUESTOS FEDERALES(ISR POR SALARIOS)</t>
  </si>
  <si>
    <t>CUOTA PATRONAL IMSS</t>
  </si>
  <si>
    <t>SERVICIOS INTEGRALES Y OTROS SERVICIOS</t>
  </si>
  <si>
    <t>COMBUSTIBLES, LUBRICANTES Y ADITIVOS</t>
  </si>
  <si>
    <t>REFACCIONES Y ACCESORIOS MENOS DE EQ. COMPUTO</t>
  </si>
  <si>
    <t>DIFUSION</t>
  </si>
  <si>
    <t>MATERIAL DE LIMPIEZA</t>
  </si>
  <si>
    <t>SERVICIO DE INSTALACION, REPARACION</t>
  </si>
  <si>
    <t>MOBILIARIO Y EQUIPO</t>
  </si>
  <si>
    <t xml:space="preserve">HERRAMIENTA Y REFACCIONES </t>
  </si>
  <si>
    <t>MATERIALES, Y UTILES Y ACCESORIOS</t>
  </si>
  <si>
    <t>MUEBLES, EXCEPTO DE OFICINA Y ESTANTERIA</t>
  </si>
  <si>
    <t>IMPUESTO SOBRE NOMINA</t>
  </si>
  <si>
    <t>ARTICULOS DEPORTIVOS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</si>
  <si>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</si>
  <si>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</si>
  <si>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</si>
  <si>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</si>
  <si>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</si>
  <si>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</si>
  <si>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</si>
  <si>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</si>
  <si>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</si>
  <si>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</si>
  <si>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</si>
  <si>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</si>
  <si>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</si>
  <si>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</si>
  <si>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SUBSIDIO FEDERAL 2018</t>
  </si>
  <si>
    <t>SALDO BANCOS Al 31 DICIEMBRE 2018</t>
  </si>
  <si>
    <t>PROVISION IMPTO SOBRE NOMINA</t>
  </si>
  <si>
    <t>IMSS, SAR E INFONAVIT</t>
  </si>
  <si>
    <t>PAGO DE ISR</t>
  </si>
  <si>
    <t>PLAN FUNERARIO</t>
  </si>
  <si>
    <t>SEGURO DE NISSAN</t>
  </si>
  <si>
    <t>APORTACIÓN ESTATAL</t>
  </si>
  <si>
    <t>REFACCIONES Y ACCESORIOS MENORES DE EQ. COMPUTO</t>
  </si>
  <si>
    <t>SERVICIOS LEGALES, DE CONTABILIDAD</t>
  </si>
  <si>
    <t>CONGRESOS Y CONVENCIONES</t>
  </si>
  <si>
    <t>SUBSIDIO ESTATAL 2018</t>
  </si>
  <si>
    <t>PRESTAMO FONDO DE CONTINGENCIA</t>
  </si>
  <si>
    <t>SALDO AL 31 DE DICIEMBRE 2018</t>
  </si>
  <si>
    <t>SALDO BANCOS AL 21 DE ENERO 2019</t>
  </si>
  <si>
    <t>SALDO AL 21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</si>
</sst>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justify" wrapText="1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44" fontId="2" fillId="0" borderId="1" xfId="0" applyNumberFormat="1" applyFont="1" applyFill="1" applyBorder="1"/>
    <xf numFmtId="44" fontId="0" fillId="0" borderId="0" xfId="1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justify" wrapText="1"/>
    </xf>
    <xf numFmtId="44" fontId="0" fillId="0" borderId="0" xfId="1" applyFont="1" applyBorder="1"/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0" xfId="0" applyFill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142875</xdr:rowOff>
    </xdr:from>
    <xdr:to>
      <xdr:col>2</xdr:col>
      <xdr:colOff>1028699</xdr:colOff>
      <xdr:row>3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42875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61"/>
  <sheetViews>
    <sheetView tabSelected="1" topLeftCell="B1" workbookViewId="0">
      <selection activeCell="AB62" sqref="AB62"/>
    </sheetView>
  </sheetViews>
  <sheetFormatPr baseColWidth="10" defaultRowHeight="15" x14ac:dyDescent="0.25"/>
  <cols>
    <col min="3" max="3" width="23.5703125" customWidth="1"/>
    <col min="4" max="4" width="25.5703125" customWidth="1"/>
    <col min="5" max="5" width="32.140625" bestFit="1" customWidth="1"/>
    <col min="6" max="6" width="27.7109375" bestFit="1" customWidth="1"/>
    <col min="7" max="7" width="13.5703125" customWidth="1"/>
    <col min="8" max="8" width="18.7109375" customWidth="1"/>
    <col min="9" max="9" width="20.140625" customWidth="1"/>
    <col min="10" max="10" width="16.85546875" customWidth="1"/>
    <col min="11" max="11" width="17.7109375" customWidth="1"/>
    <col min="12" max="12" width="18" customWidth="1"/>
    <col min="13" max="13" width="18.42578125" customWidth="1"/>
    <col min="14" max="14" width="22.7109375" customWidth="1"/>
    <col min="15" max="15" width="17" customWidth="1"/>
    <col min="16" max="16" width="19.7109375" customWidth="1"/>
    <col min="17" max="17" width="18.28515625" customWidth="1"/>
    <col min="18" max="18" width="16.42578125" customWidth="1"/>
    <col min="19" max="19" width="15.5703125" customWidth="1"/>
    <col min="20" max="20" width="14.85546875" customWidth="1"/>
    <col min="21" max="21" width="17.85546875" customWidth="1"/>
    <col min="22" max="22" width="12.5703125" bestFit="1" customWidth="1"/>
    <col min="23" max="23" width="17.7109375" customWidth="1"/>
    <col min="24" max="24" width="17.42578125" customWidth="1"/>
    <col min="25" max="25" width="15.85546875" customWidth="1"/>
    <col min="26" max="26" width="16.28515625" customWidth="1"/>
    <col min="27" max="27" width="36.7109375" customWidth="1"/>
    <col min="28" max="28" width="35.28515625" customWidth="1"/>
    <col min="29" max="29" width="16" customWidth="1"/>
  </cols>
  <sheetData>
    <row r="2" spans="3:28" x14ac:dyDescent="0.25">
      <c r="E2" s="1" t="s">
        <v>0</v>
      </c>
    </row>
    <row r="3" spans="3:28" x14ac:dyDescent="0.25">
      <c r="E3" s="1" t="s">
        <v>1</v>
      </c>
    </row>
    <row r="6" spans="3:28" x14ac:dyDescent="0.25"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3:28" ht="60" x14ac:dyDescent="0.25"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3" t="s">
        <v>23</v>
      </c>
      <c r="X7" s="3" t="s">
        <v>24</v>
      </c>
      <c r="Y7" s="3" t="s">
        <v>25</v>
      </c>
      <c r="Z7" s="3" t="s">
        <v>26</v>
      </c>
      <c r="AA7" s="3" t="s">
        <v>27</v>
      </c>
      <c r="AB7" s="2" t="s">
        <v>28</v>
      </c>
    </row>
    <row r="8" spans="3:28" x14ac:dyDescent="0.25">
      <c r="C8" s="2" t="s">
        <v>29</v>
      </c>
      <c r="D8" s="4">
        <f>11298+185216.44+62183.34</f>
        <v>258697.78</v>
      </c>
      <c r="E8" s="5"/>
      <c r="F8" s="4"/>
      <c r="G8" s="4">
        <f>393.17</f>
        <v>393.17</v>
      </c>
      <c r="H8" s="4"/>
      <c r="I8" s="4">
        <f>87+11641.16</f>
        <v>11728.16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">
        <f t="shared" ref="AB8:AB19" si="0">SUM(D8:AA8)</f>
        <v>270819.11</v>
      </c>
    </row>
    <row r="9" spans="3:28" x14ac:dyDescent="0.25">
      <c r="C9" s="2" t="s">
        <v>30</v>
      </c>
      <c r="D9" s="4">
        <f>11298+1210.5+180922.79+3626.89+57905.68+5726.55+701+1906</f>
        <v>263297.41000000003</v>
      </c>
      <c r="E9" s="4"/>
      <c r="F9" s="4"/>
      <c r="G9" s="4">
        <f>393.17+42.13+87.58</f>
        <v>522.88</v>
      </c>
      <c r="H9" s="5"/>
      <c r="I9" s="5"/>
      <c r="J9" s="4">
        <v>14384</v>
      </c>
      <c r="K9" s="4">
        <f>25230</f>
        <v>25230</v>
      </c>
      <c r="L9" s="4"/>
      <c r="M9" s="4"/>
      <c r="N9" s="4">
        <v>86367</v>
      </c>
      <c r="O9" s="4">
        <v>69517.899999999994</v>
      </c>
      <c r="P9" s="4">
        <f>375.84</f>
        <v>375.84</v>
      </c>
      <c r="Q9" s="4"/>
      <c r="R9" s="4"/>
      <c r="S9" s="4"/>
      <c r="T9" s="4"/>
      <c r="U9" s="4"/>
      <c r="V9" s="4"/>
      <c r="W9" s="4"/>
      <c r="X9" s="4">
        <v>1000</v>
      </c>
      <c r="Y9" s="4"/>
      <c r="Z9" s="4"/>
      <c r="AA9" s="4"/>
      <c r="AB9" s="6">
        <f t="shared" si="0"/>
        <v>460695.03000000009</v>
      </c>
    </row>
    <row r="10" spans="3:28" x14ac:dyDescent="0.25">
      <c r="C10" s="2" t="s">
        <v>31</v>
      </c>
      <c r="D10" s="4">
        <f>201952.73+215656.91+252+12105</f>
        <v>429966.64</v>
      </c>
      <c r="E10" s="4">
        <f>2688</f>
        <v>2688</v>
      </c>
      <c r="F10" s="4">
        <f>560+474+506</f>
        <v>1540</v>
      </c>
      <c r="G10" s="4">
        <f>421.25</f>
        <v>421.25</v>
      </c>
      <c r="H10" s="4">
        <f>10710</f>
        <v>10710</v>
      </c>
      <c r="I10" s="5"/>
      <c r="J10" s="4">
        <v>14384</v>
      </c>
      <c r="K10" s="5"/>
      <c r="L10" s="4">
        <f>1977.47+297.01+289+6452.01+261.68+5030.8+1128+415+466.25+514.01+1440+523.12+3597.23+7631.3+1864+322+546+1754.73+1864</f>
        <v>36373.61</v>
      </c>
      <c r="M10" s="5">
        <v>2800.41</v>
      </c>
      <c r="N10" s="4"/>
      <c r="O10" s="4"/>
      <c r="P10" s="4">
        <v>17400</v>
      </c>
      <c r="Q10" s="4"/>
      <c r="R10" s="4"/>
      <c r="S10" s="4"/>
      <c r="T10" s="4"/>
      <c r="U10" s="4"/>
      <c r="V10" s="4"/>
      <c r="W10" s="4">
        <v>7214.92</v>
      </c>
      <c r="X10" s="4"/>
      <c r="Y10" s="4"/>
      <c r="Z10" s="4"/>
      <c r="AA10" s="4"/>
      <c r="AB10" s="6">
        <f t="shared" si="0"/>
        <v>523498.82999999996</v>
      </c>
    </row>
    <row r="11" spans="3:28" x14ac:dyDescent="0.25">
      <c r="C11" s="2" t="s">
        <v>32</v>
      </c>
      <c r="D11" s="4">
        <f>12105+7960.93+54061.7+210901.58</f>
        <v>285029.20999999996</v>
      </c>
      <c r="E11" s="4"/>
      <c r="F11" s="4">
        <f>560+474+506</f>
        <v>1540</v>
      </c>
      <c r="G11" s="4">
        <f>421.25+34.8</f>
        <v>456.05</v>
      </c>
      <c r="H11" s="4">
        <f>13865</f>
        <v>13865</v>
      </c>
      <c r="I11" s="5"/>
      <c r="J11" s="5"/>
      <c r="K11" s="4">
        <f>25230</f>
        <v>25230</v>
      </c>
      <c r="L11" s="4">
        <f>1547+2078.22+1100+750+3083.5+5217+118+546.09+125+1792.6+3911.4+1413+4074.13+1178.28</f>
        <v>26934.22</v>
      </c>
      <c r="M11" s="4"/>
      <c r="N11" s="4">
        <f>94715</f>
        <v>94715</v>
      </c>
      <c r="O11" s="4">
        <f>75276.09</f>
        <v>75276.09</v>
      </c>
      <c r="P11" s="5"/>
      <c r="Q11" s="4">
        <f>15000</f>
        <v>15000</v>
      </c>
      <c r="R11" s="5"/>
      <c r="S11" s="5"/>
      <c r="T11" s="5"/>
      <c r="U11" s="4">
        <f>11082.5</f>
        <v>11082.5</v>
      </c>
      <c r="V11" s="5"/>
      <c r="W11" s="4">
        <f>3790+2376+611.72</f>
        <v>6777.72</v>
      </c>
      <c r="X11" s="4">
        <f>43688+4910.3-7554</f>
        <v>41044.300000000003</v>
      </c>
      <c r="Y11" s="5"/>
      <c r="Z11" s="5"/>
      <c r="AA11" s="4">
        <f>67216.2</f>
        <v>67216.2</v>
      </c>
      <c r="AB11" s="6">
        <f t="shared" si="0"/>
        <v>664166.28999999992</v>
      </c>
    </row>
    <row r="12" spans="3:28" x14ac:dyDescent="0.25">
      <c r="C12" s="2" t="s">
        <v>33</v>
      </c>
      <c r="D12" s="4">
        <f>55629.35+1210.5+3040.22+2514.52+2158.37+228616.05+13361.34+719</f>
        <v>307249.35000000003</v>
      </c>
      <c r="E12" s="4">
        <f>2689</f>
        <v>2689</v>
      </c>
      <c r="F12" s="4">
        <f>560+473+562+506</f>
        <v>2101</v>
      </c>
      <c r="G12" s="4">
        <f>42.63</f>
        <v>42.63</v>
      </c>
      <c r="H12" s="4">
        <f>16051+3289</f>
        <v>19340</v>
      </c>
      <c r="I12" s="5"/>
      <c r="J12" s="4">
        <f>14384</f>
        <v>14384</v>
      </c>
      <c r="K12" s="5"/>
      <c r="L12" s="4">
        <f>140+208+1000+1000+1000+2204.56+1118.99+1330+8846.81+5722+7210.8+2660.9+300</f>
        <v>32742.06</v>
      </c>
      <c r="M12" s="5"/>
      <c r="N12" s="4">
        <f>92694</f>
        <v>92694</v>
      </c>
      <c r="O12" s="4"/>
      <c r="P12" s="4">
        <f>9200</f>
        <v>9200</v>
      </c>
      <c r="Q12" s="4">
        <f>2000</f>
        <v>2000</v>
      </c>
      <c r="R12" s="4">
        <f>12895.52</f>
        <v>12895.52</v>
      </c>
      <c r="S12" s="4"/>
      <c r="T12" s="4"/>
      <c r="U12" s="4"/>
      <c r="V12" s="4"/>
      <c r="W12" s="4">
        <f>3615+248+2050+279.99+2503.62</f>
        <v>8696.61</v>
      </c>
      <c r="X12" s="4"/>
      <c r="Y12" s="4"/>
      <c r="Z12" s="4"/>
      <c r="AA12" s="4"/>
      <c r="AB12" s="6">
        <f t="shared" si="0"/>
        <v>504034.17000000004</v>
      </c>
    </row>
    <row r="13" spans="3:28" x14ac:dyDescent="0.25">
      <c r="C13" s="2" t="s">
        <v>34</v>
      </c>
      <c r="D13" s="4">
        <f>719+61750.95+5547.07+2388.44+13361.34</f>
        <v>83766.799999999988</v>
      </c>
      <c r="E13" s="4"/>
      <c r="F13" s="4">
        <f>541+474</f>
        <v>1015</v>
      </c>
      <c r="G13" s="4"/>
      <c r="H13" s="5"/>
      <c r="I13" s="4"/>
      <c r="J13" s="4"/>
      <c r="K13" s="4">
        <f>30276+10092</f>
        <v>40368</v>
      </c>
      <c r="L13" s="4">
        <f>564.2+1422.8+595+445+15500.61+7119.97+1050+9681.84+8400+14346+660.98+700</f>
        <v>60486.400000000001</v>
      </c>
      <c r="M13" s="4"/>
      <c r="N13" s="4">
        <f>97947</f>
        <v>97947</v>
      </c>
      <c r="O13" s="4"/>
      <c r="P13" s="4">
        <f>34381.83</f>
        <v>34381.83</v>
      </c>
      <c r="Q13" s="4">
        <f>2000</f>
        <v>2000</v>
      </c>
      <c r="R13" s="4">
        <f>95.12+28560+4569.6</f>
        <v>33224.720000000001</v>
      </c>
      <c r="S13" s="4"/>
      <c r="T13" s="4"/>
      <c r="U13" s="4"/>
      <c r="V13" s="4"/>
      <c r="W13" s="4">
        <f>2664.7+733+7850+4072+395</f>
        <v>15714.7</v>
      </c>
      <c r="X13" s="4">
        <f>1404</f>
        <v>1404</v>
      </c>
      <c r="Y13" s="4"/>
      <c r="Z13" s="4"/>
      <c r="AA13" s="4"/>
      <c r="AB13" s="6">
        <f t="shared" si="0"/>
        <v>370308.45</v>
      </c>
    </row>
    <row r="14" spans="3:28" x14ac:dyDescent="0.25">
      <c r="C14" s="2" t="s">
        <v>35</v>
      </c>
      <c r="D14" s="4">
        <f>211587.24+701+61263.73+231983.74+12912</f>
        <v>518447.70999999996</v>
      </c>
      <c r="E14" s="4">
        <f>2689</f>
        <v>2689</v>
      </c>
      <c r="F14" s="4">
        <f>559+474+513</f>
        <v>1546</v>
      </c>
      <c r="G14" s="4">
        <f>449.34</f>
        <v>449.34</v>
      </c>
      <c r="H14" s="4">
        <f>46698</f>
        <v>46698</v>
      </c>
      <c r="I14" s="4">
        <f>2603.5+12250.15+87</f>
        <v>14940.65</v>
      </c>
      <c r="J14" s="4"/>
      <c r="K14" s="5"/>
      <c r="L14" s="4">
        <f>710+9010.42+10666.25+8170+638.4+621+391+12000</f>
        <v>42207.07</v>
      </c>
      <c r="M14" s="4">
        <f>2798.37</f>
        <v>2798.37</v>
      </c>
      <c r="N14" s="4">
        <f>50671</f>
        <v>50671</v>
      </c>
      <c r="O14" s="4"/>
      <c r="P14" s="4">
        <f>3944+7973.68</f>
        <v>11917.68</v>
      </c>
      <c r="Q14" s="5"/>
      <c r="R14" s="5"/>
      <c r="S14" s="5"/>
      <c r="T14" s="5"/>
      <c r="U14" s="5"/>
      <c r="V14" s="5"/>
      <c r="W14" s="4">
        <f>3300+13064.58+1059.4+1513</f>
        <v>18936.98</v>
      </c>
      <c r="X14" s="5"/>
      <c r="Y14" s="5"/>
      <c r="Z14" s="5"/>
      <c r="AA14" s="5"/>
      <c r="AB14" s="6">
        <f t="shared" si="0"/>
        <v>711301.8</v>
      </c>
    </row>
    <row r="15" spans="3:28" x14ac:dyDescent="0.25">
      <c r="C15" s="2" t="s">
        <v>36</v>
      </c>
      <c r="D15" s="4">
        <f>737+58426.45+222979.73+12912</f>
        <v>295055.18</v>
      </c>
      <c r="E15" s="4">
        <f>2688</f>
        <v>2688</v>
      </c>
      <c r="F15" s="4">
        <f>474+560+399</f>
        <v>1433</v>
      </c>
      <c r="G15" s="4">
        <f>449.34</f>
        <v>449.34</v>
      </c>
      <c r="H15" s="5"/>
      <c r="I15" s="5"/>
      <c r="J15" s="4">
        <v>17632</v>
      </c>
      <c r="K15" s="4">
        <f>30276</f>
        <v>30276</v>
      </c>
      <c r="L15" s="4">
        <f>450+415+540+5130+280+2000+553.06+140+290+327.99+1038+1507+7475.46+2471.01+200+852+1872.01+3094+7170+1000</f>
        <v>36805.53</v>
      </c>
      <c r="M15" s="4"/>
      <c r="N15" s="5"/>
      <c r="O15" s="5"/>
      <c r="P15" s="4">
        <f>1450+580+2320+34800+3480+21860</f>
        <v>64490</v>
      </c>
      <c r="Q15" s="4">
        <f>15000</f>
        <v>15000</v>
      </c>
      <c r="R15" s="4">
        <f>13253.07</f>
        <v>13253.07</v>
      </c>
      <c r="S15" s="4">
        <f>7540+4306.5</f>
        <v>11846.5</v>
      </c>
      <c r="T15" s="5"/>
      <c r="U15" s="5"/>
      <c r="V15" s="5"/>
      <c r="W15" s="4">
        <f>7200+840+7435.97</f>
        <v>15475.970000000001</v>
      </c>
      <c r="X15" s="4">
        <f>1358+6632.9</f>
        <v>7990.9</v>
      </c>
      <c r="Y15" s="5"/>
      <c r="Z15" s="5"/>
      <c r="AA15" s="5"/>
      <c r="AB15" s="6">
        <f t="shared" si="0"/>
        <v>512395.49000000011</v>
      </c>
    </row>
    <row r="16" spans="3:28" x14ac:dyDescent="0.25">
      <c r="C16" s="2" t="s">
        <v>37</v>
      </c>
      <c r="D16" s="4">
        <f>567+209495.22+12508.5+12105+417.55+209495.22</f>
        <v>444588.49</v>
      </c>
      <c r="E16" s="5"/>
      <c r="F16" s="4">
        <f>349+560</f>
        <v>909</v>
      </c>
      <c r="G16" s="4">
        <f>435.3+421.25+17.4+925.68</f>
        <v>1799.6299999999999</v>
      </c>
      <c r="H16" s="4">
        <f>56052</f>
        <v>56052</v>
      </c>
      <c r="I16" s="4">
        <f>12065.79</f>
        <v>12065.79</v>
      </c>
      <c r="J16" s="4"/>
      <c r="K16" s="5"/>
      <c r="L16" s="4">
        <f>3417.64+109+122+200+430+1419+1149.01+208.85+328.37+2744.1+7456.71</f>
        <v>17584.68</v>
      </c>
      <c r="M16" s="5"/>
      <c r="N16" s="4">
        <f>95048</f>
        <v>95048</v>
      </c>
      <c r="O16" s="4"/>
      <c r="P16" s="4">
        <f>5784.75+3750</f>
        <v>9534.75</v>
      </c>
      <c r="Q16" s="4">
        <f>15000+2000</f>
        <v>17000</v>
      </c>
      <c r="R16" s="4"/>
      <c r="S16" s="4"/>
      <c r="T16" s="4"/>
      <c r="U16" s="4"/>
      <c r="V16" s="4"/>
      <c r="W16" s="4">
        <f>797.61+261.6</f>
        <v>1059.21</v>
      </c>
      <c r="X16" s="4">
        <f>6481.2</f>
        <v>6481.2</v>
      </c>
      <c r="Y16" s="4"/>
      <c r="Z16" s="4">
        <v>44173</v>
      </c>
      <c r="AA16" s="4"/>
      <c r="AB16" s="6">
        <f t="shared" si="0"/>
        <v>706295.74999999988</v>
      </c>
    </row>
    <row r="17" spans="3:28" x14ac:dyDescent="0.25">
      <c r="C17" s="2" t="s">
        <v>38</v>
      </c>
      <c r="D17" s="4">
        <f>223676.2+12105+67088.09+934</f>
        <v>303803.29000000004</v>
      </c>
      <c r="E17" s="4">
        <f>2689</f>
        <v>2689</v>
      </c>
      <c r="F17" s="4">
        <f>560+760</f>
        <v>1320</v>
      </c>
      <c r="G17" s="4">
        <f>421.25+17.4+462.84</f>
        <v>901.49</v>
      </c>
      <c r="H17" s="4"/>
      <c r="I17" s="5"/>
      <c r="J17" s="4">
        <f>17632</f>
        <v>17632</v>
      </c>
      <c r="K17" s="4"/>
      <c r="L17" s="4">
        <f>910+1017+840+97+5419.8+208+2106.97+7338.59+1890+600+2394+1781+7700+140+3378+7418.07</f>
        <v>43238.43</v>
      </c>
      <c r="M17" s="4">
        <f>1376.14</f>
        <v>1376.14</v>
      </c>
      <c r="N17" s="4">
        <f>87475</f>
        <v>87475</v>
      </c>
      <c r="O17" s="5"/>
      <c r="P17" s="4"/>
      <c r="Q17" s="4">
        <f>3000</f>
        <v>3000</v>
      </c>
      <c r="R17" s="4"/>
      <c r="S17" s="5"/>
      <c r="T17" s="5"/>
      <c r="U17" s="5"/>
      <c r="V17" s="5"/>
      <c r="W17" s="4">
        <f>2063.92+95+839+140+790+3398.72+1000+2400.01+5685</f>
        <v>16411.650000000001</v>
      </c>
      <c r="X17" s="5"/>
      <c r="Y17" s="5"/>
      <c r="Z17" s="5"/>
      <c r="AA17" s="5"/>
      <c r="AB17" s="6">
        <f t="shared" si="0"/>
        <v>477847.00000000006</v>
      </c>
    </row>
    <row r="18" spans="3:28" x14ac:dyDescent="0.25">
      <c r="C18" s="2" t="s">
        <v>39</v>
      </c>
      <c r="D18" s="4">
        <f>13114.84+719+65588.09+209495.22+12526.25+209495.2</f>
        <v>510938.60000000003</v>
      </c>
      <c r="E18" s="5"/>
      <c r="F18" s="4"/>
      <c r="G18" s="4">
        <v>1017.25</v>
      </c>
      <c r="H18" s="4">
        <f>54161</f>
        <v>54161</v>
      </c>
      <c r="I18" s="5"/>
      <c r="J18" s="4"/>
      <c r="K18" s="4">
        <f>30276</f>
        <v>30276</v>
      </c>
      <c r="L18" s="4">
        <f>7563.04+5610+5310+1562.4+11569.2+717+70+930.8</f>
        <v>33332.44</v>
      </c>
      <c r="M18" s="5"/>
      <c r="N18" s="4">
        <f>89639</f>
        <v>89639</v>
      </c>
      <c r="O18" s="4"/>
      <c r="P18" s="5">
        <f>1450+7245.1+19902</f>
        <v>28597.1</v>
      </c>
      <c r="Q18" s="5">
        <f>15000+2000</f>
        <v>17000</v>
      </c>
      <c r="R18" s="4">
        <f>7870.21+648</f>
        <v>8518.2099999999991</v>
      </c>
      <c r="S18" s="4"/>
      <c r="T18" s="4"/>
      <c r="U18" s="4"/>
      <c r="V18" s="4"/>
      <c r="W18" s="4"/>
      <c r="X18" s="4"/>
      <c r="Y18" s="4"/>
      <c r="Z18" s="4"/>
      <c r="AA18" s="4"/>
      <c r="AB18" s="6">
        <f t="shared" si="0"/>
        <v>773479.6</v>
      </c>
    </row>
    <row r="19" spans="3:28" x14ac:dyDescent="0.25">
      <c r="C19" s="2" t="s">
        <v>40</v>
      </c>
      <c r="D19" s="4">
        <f>12105+1186+64837.05+6280.89+233195.44+10756.52+12105+209495.22</f>
        <v>549961.12</v>
      </c>
      <c r="E19" s="5">
        <v>2689</v>
      </c>
      <c r="F19" s="4">
        <f>560+560</f>
        <v>1120</v>
      </c>
      <c r="G19" s="4">
        <f>421.25+421.25</f>
        <v>842.5</v>
      </c>
      <c r="H19" s="5"/>
      <c r="I19" s="4"/>
      <c r="J19" s="5"/>
      <c r="K19" s="4"/>
      <c r="L19" s="4">
        <f>5620+2000+980+263+972+319+552+980+1401.91+524+4066.12+1912.74-1537.49</f>
        <v>18053.28</v>
      </c>
      <c r="M19" s="5"/>
      <c r="N19" s="4">
        <f>100062</f>
        <v>100062</v>
      </c>
      <c r="O19" s="5"/>
      <c r="P19" s="5">
        <f>490.13+17400+6013.44+6821.98</f>
        <v>30725.55</v>
      </c>
      <c r="Q19" s="5"/>
      <c r="R19" s="5"/>
      <c r="S19" s="4"/>
      <c r="T19" s="4"/>
      <c r="U19" s="4"/>
      <c r="V19" s="4"/>
      <c r="W19" s="4">
        <f>1265.28</f>
        <v>1265.28</v>
      </c>
      <c r="X19" s="4">
        <f>269.8</f>
        <v>269.8</v>
      </c>
      <c r="Y19" s="4"/>
      <c r="Z19" s="4"/>
      <c r="AA19" s="4"/>
      <c r="AB19" s="6">
        <f t="shared" si="0"/>
        <v>704988.53000000014</v>
      </c>
    </row>
    <row r="20" spans="3:28" x14ac:dyDescent="0.25">
      <c r="C20" s="2" t="s">
        <v>41</v>
      </c>
      <c r="D20" s="7">
        <f>SUM(D8:D19)</f>
        <v>4250801.58</v>
      </c>
      <c r="E20" s="8">
        <f t="shared" ref="E20:AA20" si="1">SUM(E8:E19)</f>
        <v>16132</v>
      </c>
      <c r="F20" s="8">
        <f t="shared" si="1"/>
        <v>12524</v>
      </c>
      <c r="G20" s="8">
        <f t="shared" si="1"/>
        <v>7295.53</v>
      </c>
      <c r="H20" s="8">
        <f t="shared" si="1"/>
        <v>200826</v>
      </c>
      <c r="I20" s="8">
        <f t="shared" si="1"/>
        <v>38734.6</v>
      </c>
      <c r="J20" s="8">
        <f t="shared" si="1"/>
        <v>78416</v>
      </c>
      <c r="K20" s="8">
        <f t="shared" si="1"/>
        <v>151380</v>
      </c>
      <c r="L20" s="8">
        <f t="shared" si="1"/>
        <v>347757.72</v>
      </c>
      <c r="M20" s="8">
        <f t="shared" si="1"/>
        <v>6974.92</v>
      </c>
      <c r="N20" s="7">
        <f t="shared" si="1"/>
        <v>794618</v>
      </c>
      <c r="O20" s="7">
        <f t="shared" si="1"/>
        <v>144793.99</v>
      </c>
      <c r="P20" s="7">
        <f t="shared" si="1"/>
        <v>206622.75</v>
      </c>
      <c r="Q20" s="7">
        <f t="shared" si="1"/>
        <v>71000</v>
      </c>
      <c r="R20" s="7">
        <f t="shared" si="1"/>
        <v>67891.520000000004</v>
      </c>
      <c r="S20" s="7">
        <f t="shared" si="1"/>
        <v>11846.5</v>
      </c>
      <c r="T20" s="7">
        <f t="shared" si="1"/>
        <v>0</v>
      </c>
      <c r="U20" s="7">
        <f t="shared" si="1"/>
        <v>11082.5</v>
      </c>
      <c r="V20" s="7">
        <f t="shared" si="1"/>
        <v>0</v>
      </c>
      <c r="W20" s="7">
        <f t="shared" si="1"/>
        <v>91553.040000000008</v>
      </c>
      <c r="X20" s="7">
        <f t="shared" si="1"/>
        <v>58190.200000000004</v>
      </c>
      <c r="Y20" s="7">
        <f t="shared" si="1"/>
        <v>0</v>
      </c>
      <c r="Z20" s="7">
        <f t="shared" si="1"/>
        <v>44173</v>
      </c>
      <c r="AA20" s="7">
        <f t="shared" si="1"/>
        <v>67216.2</v>
      </c>
      <c r="AB20" s="7">
        <f>SUM(AB8:AB19)</f>
        <v>6679830.0500000007</v>
      </c>
    </row>
    <row r="22" spans="3:28" x14ac:dyDescent="0.25">
      <c r="AA22" t="s">
        <v>42</v>
      </c>
      <c r="AB22" s="9">
        <v>7308999</v>
      </c>
    </row>
    <row r="23" spans="3:28" x14ac:dyDescent="0.25">
      <c r="AB23" s="9">
        <f>AB22-AB20</f>
        <v>629168.94999999925</v>
      </c>
    </row>
    <row r="24" spans="3:28" x14ac:dyDescent="0.25">
      <c r="AA24" t="s">
        <v>43</v>
      </c>
      <c r="AB24" s="4">
        <f>629168.95</f>
        <v>629168.94999999995</v>
      </c>
    </row>
    <row r="25" spans="3:28" x14ac:dyDescent="0.25">
      <c r="AA25" t="s">
        <v>44</v>
      </c>
      <c r="AB25" s="9">
        <v>64298</v>
      </c>
    </row>
    <row r="26" spans="3:28" x14ac:dyDescent="0.25">
      <c r="AA26" t="s">
        <v>45</v>
      </c>
      <c r="AB26" s="9">
        <v>260323.8</v>
      </c>
    </row>
    <row r="27" spans="3:28" x14ac:dyDescent="0.25">
      <c r="AA27" t="s">
        <v>46</v>
      </c>
      <c r="AB27" s="9">
        <v>282666</v>
      </c>
    </row>
    <row r="28" spans="3:28" x14ac:dyDescent="0.25">
      <c r="AA28" t="s">
        <v>47</v>
      </c>
      <c r="AB28" s="9">
        <v>719</v>
      </c>
    </row>
    <row r="29" spans="3:28" x14ac:dyDescent="0.25">
      <c r="AA29" t="s">
        <v>8</v>
      </c>
      <c r="AB29" s="9">
        <v>11064.59</v>
      </c>
    </row>
    <row r="30" spans="3:28" x14ac:dyDescent="0.25">
      <c r="AA30" t="s">
        <v>48</v>
      </c>
      <c r="AB30" s="9">
        <v>10097.56</v>
      </c>
    </row>
    <row r="31" spans="3:28" x14ac:dyDescent="0.25">
      <c r="AA31" t="s">
        <v>56</v>
      </c>
      <c r="AB31" s="6">
        <v>0</v>
      </c>
    </row>
    <row r="33" spans="3:29" s="11" customFormat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3:29" s="11" customFormat="1" x14ac:dyDescent="0.25">
      <c r="C34" s="10"/>
      <c r="D34" s="10"/>
      <c r="E34" s="10"/>
      <c r="F34" s="10"/>
      <c r="G34" s="12"/>
      <c r="H34" s="10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0"/>
    </row>
    <row r="35" spans="3:29" s="11" customFormat="1" x14ac:dyDescent="0.25">
      <c r="C35" s="1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3:29" s="11" customFormat="1" x14ac:dyDescent="0.25">
      <c r="C36" s="10"/>
      <c r="D36" s="13"/>
      <c r="H36" s="13"/>
      <c r="J36" s="13"/>
      <c r="L36" s="13"/>
      <c r="N36" s="13"/>
      <c r="O36" s="13"/>
      <c r="AB36" s="13"/>
    </row>
    <row r="37" spans="3:29" s="11" customFormat="1" x14ac:dyDescent="0.25">
      <c r="C37" s="1" t="s">
        <v>49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3:29" s="11" customFormat="1" ht="60" x14ac:dyDescent="0.25">
      <c r="C38" s="2" t="s">
        <v>3</v>
      </c>
      <c r="D38" s="2" t="s">
        <v>4</v>
      </c>
      <c r="E38" s="2" t="s">
        <v>5</v>
      </c>
      <c r="F38" s="2" t="s">
        <v>6</v>
      </c>
      <c r="G38" s="3" t="s">
        <v>7</v>
      </c>
      <c r="H38" s="2" t="s">
        <v>8</v>
      </c>
      <c r="I38" s="3" t="s">
        <v>9</v>
      </c>
      <c r="J38" s="3" t="s">
        <v>10</v>
      </c>
      <c r="K38" s="3" t="s">
        <v>11</v>
      </c>
      <c r="L38" s="3" t="s">
        <v>12</v>
      </c>
      <c r="M38" s="3" t="s">
        <v>13</v>
      </c>
      <c r="N38" s="3" t="s">
        <v>14</v>
      </c>
      <c r="O38" s="3" t="s">
        <v>15</v>
      </c>
      <c r="P38" s="3" t="s">
        <v>16</v>
      </c>
      <c r="Q38" s="3" t="s">
        <v>17</v>
      </c>
      <c r="R38" s="3" t="s">
        <v>50</v>
      </c>
      <c r="S38" s="3" t="s">
        <v>19</v>
      </c>
      <c r="T38" s="3" t="s">
        <v>20</v>
      </c>
      <c r="U38" s="3" t="s">
        <v>21</v>
      </c>
      <c r="V38" s="3" t="s">
        <v>22</v>
      </c>
      <c r="W38" s="3" t="s">
        <v>23</v>
      </c>
      <c r="X38" s="3" t="s">
        <v>24</v>
      </c>
      <c r="Y38" s="3" t="s">
        <v>25</v>
      </c>
      <c r="Z38" s="3" t="s">
        <v>26</v>
      </c>
      <c r="AA38" s="3" t="s">
        <v>51</v>
      </c>
      <c r="AB38" s="3" t="s">
        <v>52</v>
      </c>
      <c r="AC38" s="2" t="s">
        <v>28</v>
      </c>
    </row>
    <row r="39" spans="3:29" s="11" customFormat="1" x14ac:dyDescent="0.25">
      <c r="C39" s="2" t="s">
        <v>29</v>
      </c>
      <c r="D39" s="4">
        <f>11298+49011.99+856.28+2109.51+199198.1+4119.95</f>
        <v>266593.83</v>
      </c>
      <c r="E39" s="4">
        <f>2688</f>
        <v>2688</v>
      </c>
      <c r="F39" s="4">
        <f>2514</f>
        <v>2514</v>
      </c>
      <c r="G39" s="4">
        <f>393.17+754</f>
        <v>1147.17</v>
      </c>
      <c r="H39" s="4"/>
      <c r="I39" s="4"/>
      <c r="J39" s="4"/>
      <c r="K39" s="4">
        <f>25230</f>
        <v>25230</v>
      </c>
      <c r="L39" s="4">
        <f>1933+415+293+12180.41+160+339</f>
        <v>15320.41</v>
      </c>
      <c r="M39" s="4">
        <f>1289.65</f>
        <v>1289.6500000000001</v>
      </c>
      <c r="N39" s="4"/>
      <c r="O39" s="4"/>
      <c r="P39" s="4">
        <f>1450</f>
        <v>1450</v>
      </c>
      <c r="Q39" s="4">
        <f>15000+2000</f>
        <v>17000</v>
      </c>
      <c r="R39" s="4"/>
      <c r="S39" s="4"/>
      <c r="T39" s="4"/>
      <c r="U39" s="4"/>
      <c r="V39" s="4"/>
      <c r="W39" s="4">
        <f>5504</f>
        <v>5504</v>
      </c>
      <c r="X39" s="4">
        <f>8375</f>
        <v>8375</v>
      </c>
      <c r="Y39" s="4"/>
      <c r="Z39" s="4"/>
      <c r="AA39" s="4">
        <f>928</f>
        <v>928</v>
      </c>
      <c r="AB39" s="4"/>
      <c r="AC39" s="4">
        <f t="shared" ref="AC39:AC46" si="2">SUM(D39:AB39)</f>
        <v>348040.06</v>
      </c>
    </row>
    <row r="40" spans="3:29" s="11" customFormat="1" x14ac:dyDescent="0.25">
      <c r="C40" s="2" t="s">
        <v>30</v>
      </c>
      <c r="D40" s="4">
        <f>1906+252+12105+60093.12+176501.14</f>
        <v>250857.26</v>
      </c>
      <c r="E40" s="4">
        <f>2689</f>
        <v>2689</v>
      </c>
      <c r="F40" s="4">
        <f>506</f>
        <v>506</v>
      </c>
      <c r="G40" s="5">
        <f>421.26+52.2+754</f>
        <v>1227.46</v>
      </c>
      <c r="H40" s="4">
        <f>128</f>
        <v>128</v>
      </c>
      <c r="I40" s="4"/>
      <c r="J40" s="4"/>
      <c r="K40" s="5"/>
      <c r="L40" s="4">
        <f>491+265.49+239+4271+5000+287+1970.64+5310+4271+6310</f>
        <v>28415.129999999997</v>
      </c>
      <c r="M40" s="5"/>
      <c r="N40" s="4"/>
      <c r="O40" s="4"/>
      <c r="P40" s="4">
        <f>450</f>
        <v>450</v>
      </c>
      <c r="Q40" s="4">
        <f>15000</f>
        <v>15000</v>
      </c>
      <c r="R40" s="5"/>
      <c r="S40" s="5"/>
      <c r="T40" s="5"/>
      <c r="U40" s="5"/>
      <c r="V40" s="5"/>
      <c r="W40" s="4">
        <f>4844.55</f>
        <v>4844.55</v>
      </c>
      <c r="X40" s="5"/>
      <c r="Y40" s="5"/>
      <c r="Z40" s="5"/>
      <c r="AA40" s="5">
        <f>4628.4+18884.8</f>
        <v>23513.199999999997</v>
      </c>
      <c r="AB40" s="5"/>
      <c r="AC40" s="4">
        <f t="shared" si="2"/>
        <v>327630.59999999998</v>
      </c>
    </row>
    <row r="41" spans="3:29" s="11" customFormat="1" x14ac:dyDescent="0.25">
      <c r="C41" s="2" t="s">
        <v>31</v>
      </c>
      <c r="D41" s="4">
        <f>467+55994.89+55613.89+12105</f>
        <v>124180.78</v>
      </c>
      <c r="E41" s="4"/>
      <c r="F41" s="5"/>
      <c r="G41" s="4">
        <f>421.25+17.4+754.01</f>
        <v>1192.6599999999999</v>
      </c>
      <c r="H41" s="4"/>
      <c r="I41" s="5"/>
      <c r="J41" s="4">
        <f>14384</f>
        <v>14384</v>
      </c>
      <c r="K41" s="4">
        <f>25230</f>
        <v>25230</v>
      </c>
      <c r="L41" s="4">
        <f>2378.76+3000+566</f>
        <v>5944.76</v>
      </c>
      <c r="M41" s="5"/>
      <c r="N41" s="4">
        <f>83239</f>
        <v>83239</v>
      </c>
      <c r="O41" s="4">
        <f>236982.47</f>
        <v>236982.47</v>
      </c>
      <c r="P41" s="5"/>
      <c r="Q41" s="4">
        <f>2000</f>
        <v>2000</v>
      </c>
      <c r="R41" s="4"/>
      <c r="S41" s="4"/>
      <c r="T41" s="4">
        <f>5000</f>
        <v>5000</v>
      </c>
      <c r="U41" s="4">
        <f>15510+1600</f>
        <v>17110</v>
      </c>
      <c r="V41" s="5"/>
      <c r="W41" s="4">
        <f>2819.99</f>
        <v>2819.99</v>
      </c>
      <c r="X41" s="5">
        <f>500</f>
        <v>500</v>
      </c>
      <c r="Y41" s="5"/>
      <c r="Z41" s="4">
        <v>29740</v>
      </c>
      <c r="AA41" s="4"/>
      <c r="AB41" s="4"/>
      <c r="AC41" s="6">
        <f t="shared" si="2"/>
        <v>548323.66</v>
      </c>
    </row>
    <row r="42" spans="3:29" s="11" customFormat="1" x14ac:dyDescent="0.25">
      <c r="C42" s="2" t="s">
        <v>32</v>
      </c>
      <c r="D42" s="14">
        <f>54266.31+3022.76+207679.28+12105+504+934</f>
        <v>278511.34999999998</v>
      </c>
      <c r="E42" s="4">
        <f>2689</f>
        <v>2689</v>
      </c>
      <c r="F42" s="5"/>
      <c r="G42" s="4">
        <f>421.25+17.4+754</f>
        <v>1192.6500000000001</v>
      </c>
      <c r="H42" s="5"/>
      <c r="I42" s="5"/>
      <c r="J42" s="5">
        <f>14384</f>
        <v>14384</v>
      </c>
      <c r="K42" s="5"/>
      <c r="L42" s="14"/>
      <c r="M42" s="5"/>
      <c r="N42" s="4"/>
      <c r="O42" s="14"/>
      <c r="P42" s="5"/>
      <c r="Q42" s="4">
        <f>2000</f>
        <v>2000</v>
      </c>
      <c r="R42" s="5"/>
      <c r="S42" s="5"/>
      <c r="T42" s="5"/>
      <c r="U42" s="4">
        <f>1488</f>
        <v>1488</v>
      </c>
      <c r="V42" s="5"/>
      <c r="W42" s="4">
        <f>329</f>
        <v>329</v>
      </c>
      <c r="X42" s="5">
        <f>1450+1450</f>
        <v>2900</v>
      </c>
      <c r="Y42" s="5"/>
      <c r="Z42" s="5"/>
      <c r="AA42" s="4"/>
      <c r="AB42" s="4"/>
      <c r="AC42" s="6">
        <f>SUM(D42:AB42)</f>
        <v>303494</v>
      </c>
    </row>
    <row r="43" spans="3:29" s="11" customFormat="1" x14ac:dyDescent="0.25">
      <c r="C43" s="2" t="s">
        <v>33</v>
      </c>
      <c r="D43" s="14">
        <f>62395.76+807+12912+210901.58+719</f>
        <v>287735.33999999997</v>
      </c>
      <c r="E43" s="4"/>
      <c r="F43" s="5">
        <f>449</f>
        <v>449</v>
      </c>
      <c r="G43" s="4">
        <f>28.08+449.34+754</f>
        <v>1231.42</v>
      </c>
      <c r="H43" s="4"/>
      <c r="I43" s="5"/>
      <c r="J43" s="5"/>
      <c r="K43" s="4">
        <f>25230</f>
        <v>25230</v>
      </c>
      <c r="L43" s="14">
        <f>125.28+316+369.68+2895</f>
        <v>3705.96</v>
      </c>
      <c r="M43" s="4">
        <f>2800.41</f>
        <v>2800.41</v>
      </c>
      <c r="N43" s="5"/>
      <c r="O43" s="4">
        <f>258206.32</f>
        <v>258206.32</v>
      </c>
      <c r="P43" s="4">
        <f>2030</f>
        <v>2030</v>
      </c>
      <c r="Q43" s="14">
        <f>15000</f>
        <v>15000</v>
      </c>
      <c r="R43" s="4">
        <f>11967.06+2948.67</f>
        <v>14915.73</v>
      </c>
      <c r="S43" s="4">
        <f>424</f>
        <v>424</v>
      </c>
      <c r="T43" s="5"/>
      <c r="U43" s="5"/>
      <c r="V43" s="5"/>
      <c r="W43" s="4">
        <f>1187.49</f>
        <v>1187.49</v>
      </c>
      <c r="X43" s="5">
        <f>5032.87+800+1450</f>
        <v>7282.87</v>
      </c>
      <c r="Y43" s="5"/>
      <c r="Z43" s="4">
        <f>32271</f>
        <v>32271</v>
      </c>
      <c r="AA43" s="5"/>
      <c r="AB43" s="5"/>
      <c r="AC43" s="6">
        <f t="shared" si="2"/>
        <v>652469.53999999992</v>
      </c>
    </row>
    <row r="44" spans="3:29" s="11" customFormat="1" x14ac:dyDescent="0.25">
      <c r="C44" s="2" t="s">
        <v>34</v>
      </c>
      <c r="D44" s="14">
        <f>5192.75+30858.64+12912+209915.29+719</f>
        <v>259597.68</v>
      </c>
      <c r="E44" s="4">
        <f>2688</f>
        <v>2688</v>
      </c>
      <c r="F44" s="5"/>
      <c r="G44" s="4">
        <f>449.34+754</f>
        <v>1203.3399999999999</v>
      </c>
      <c r="H44" s="4">
        <f>32684</f>
        <v>32684</v>
      </c>
      <c r="I44" s="5"/>
      <c r="J44" s="4">
        <f>5877.33+17632</f>
        <v>23509.33</v>
      </c>
      <c r="K44" s="5"/>
      <c r="L44" s="14">
        <f>140+1281.18+440+150+340+1212+150+6531.98+1532+968.5+107</f>
        <v>12852.66</v>
      </c>
      <c r="M44" s="5"/>
      <c r="N44" s="5"/>
      <c r="O44" s="14">
        <f>78891.24</f>
        <v>78891.240000000005</v>
      </c>
      <c r="P44" s="4">
        <f>12296+1856.19</f>
        <v>14152.19</v>
      </c>
      <c r="Q44" s="14">
        <f>15000</f>
        <v>15000</v>
      </c>
      <c r="R44" s="4">
        <f>2655</f>
        <v>2655</v>
      </c>
      <c r="S44" s="5"/>
      <c r="T44" s="5"/>
      <c r="U44" s="4">
        <f>6800</f>
        <v>6800</v>
      </c>
      <c r="V44" s="5"/>
      <c r="W44" s="4">
        <f>633</f>
        <v>633</v>
      </c>
      <c r="X44" s="4"/>
      <c r="Y44" s="5"/>
      <c r="Z44" s="5"/>
      <c r="AA44" s="4">
        <f>52147</f>
        <v>52147</v>
      </c>
      <c r="AB44" s="5"/>
      <c r="AC44" s="6">
        <f t="shared" si="2"/>
        <v>502813.44</v>
      </c>
    </row>
    <row r="45" spans="3:29" s="11" customFormat="1" x14ac:dyDescent="0.25">
      <c r="C45" s="2" t="s">
        <v>35</v>
      </c>
      <c r="D45" s="14">
        <f>63140.9+701+12912+217224.95+61415.05</f>
        <v>355393.89999999997</v>
      </c>
      <c r="E45" s="4"/>
      <c r="F45" s="5"/>
      <c r="G45" s="4">
        <f>449.34+17.4+754</f>
        <v>1220.74</v>
      </c>
      <c r="H45" s="4"/>
      <c r="I45" s="5"/>
      <c r="J45" s="5"/>
      <c r="K45" s="4"/>
      <c r="L45" s="14">
        <f>2030+2275+912+1756+663+336.44</f>
        <v>7972.44</v>
      </c>
      <c r="M45" s="14"/>
      <c r="N45" s="5"/>
      <c r="O45" s="4">
        <f>267382.05</f>
        <v>267382.05</v>
      </c>
      <c r="P45" s="5"/>
      <c r="Q45" s="14">
        <f>2000</f>
        <v>2000</v>
      </c>
      <c r="R45" s="5"/>
      <c r="S45" s="5"/>
      <c r="T45" s="5">
        <v>5008.0200000000004</v>
      </c>
      <c r="U45" s="4"/>
      <c r="V45" s="5"/>
      <c r="W45" s="4"/>
      <c r="X45" s="4"/>
      <c r="Y45" s="5"/>
      <c r="Z45" s="4">
        <f>25698</f>
        <v>25698</v>
      </c>
      <c r="AA45" s="5"/>
      <c r="AB45" s="5"/>
      <c r="AC45" s="6">
        <f t="shared" si="2"/>
        <v>664675.14999999991</v>
      </c>
    </row>
    <row r="46" spans="3:29" s="11" customFormat="1" x14ac:dyDescent="0.25">
      <c r="C46" s="2" t="s">
        <v>36</v>
      </c>
      <c r="D46" s="14">
        <f>737+12912+30218.82+209565.63+64766.35</f>
        <v>318199.8</v>
      </c>
      <c r="E46" s="5"/>
      <c r="F46" s="5"/>
      <c r="G46" s="4">
        <f>449.34+754</f>
        <v>1203.3399999999999</v>
      </c>
      <c r="H46" s="4">
        <f>42095</f>
        <v>42095</v>
      </c>
      <c r="I46" s="5"/>
      <c r="J46" s="4"/>
      <c r="K46" s="4">
        <f>30276</f>
        <v>30276</v>
      </c>
      <c r="L46" s="14"/>
      <c r="M46" s="5"/>
      <c r="N46" s="4">
        <f>138938</f>
        <v>138938</v>
      </c>
      <c r="O46" s="14">
        <f>77676.86</f>
        <v>77676.86</v>
      </c>
      <c r="P46" s="5"/>
      <c r="Q46" s="14"/>
      <c r="R46" s="5"/>
      <c r="S46" s="5"/>
      <c r="T46" s="4">
        <f>6499.21</f>
        <v>6499.21</v>
      </c>
      <c r="U46" s="4"/>
      <c r="V46" s="5"/>
      <c r="W46" s="4">
        <f>4846.86</f>
        <v>4846.8599999999997</v>
      </c>
      <c r="X46" s="4"/>
      <c r="Y46" s="5"/>
      <c r="Z46" s="5"/>
      <c r="AA46" s="4"/>
      <c r="AB46" s="5"/>
      <c r="AC46" s="6">
        <f t="shared" si="2"/>
        <v>619735.06999999995</v>
      </c>
    </row>
    <row r="47" spans="3:29" s="11" customFormat="1" x14ac:dyDescent="0.25">
      <c r="C47" s="2" t="s">
        <v>37</v>
      </c>
      <c r="D47" s="14">
        <f>64590.86+69477.13+719</f>
        <v>134786.99</v>
      </c>
      <c r="E47" s="4"/>
      <c r="F47" s="5"/>
      <c r="G47" s="4">
        <f>754</f>
        <v>754</v>
      </c>
      <c r="H47" s="4"/>
      <c r="I47" s="5"/>
      <c r="J47" s="5"/>
      <c r="K47" s="4"/>
      <c r="L47" s="14">
        <f>774</f>
        <v>774</v>
      </c>
      <c r="M47" s="4">
        <f>2901.73</f>
        <v>2901.73</v>
      </c>
      <c r="N47" s="5"/>
      <c r="O47" s="4">
        <f>261681.62</f>
        <v>261681.62</v>
      </c>
      <c r="P47" s="5"/>
      <c r="Q47" s="14"/>
      <c r="R47" s="5"/>
      <c r="S47" s="5"/>
      <c r="T47" s="5"/>
      <c r="U47" s="4">
        <f>536</f>
        <v>536</v>
      </c>
      <c r="V47" s="5"/>
      <c r="W47" s="5"/>
      <c r="X47" s="4"/>
      <c r="Y47" s="5"/>
      <c r="Z47" s="4"/>
      <c r="AA47" s="5"/>
      <c r="AB47" s="5"/>
      <c r="AC47" s="15">
        <f t="shared" ref="AC47:AC48" si="3">SUM(D47:AA47)</f>
        <v>401434.33999999997</v>
      </c>
    </row>
    <row r="48" spans="3:29" s="11" customFormat="1" x14ac:dyDescent="0.25">
      <c r="C48" s="2" t="s">
        <v>38</v>
      </c>
      <c r="D48" s="14">
        <f>2073.35+2381.62+504+12108.7+209495.22+65067.67</f>
        <v>291630.56</v>
      </c>
      <c r="E48" s="4">
        <f>2689</f>
        <v>2689</v>
      </c>
      <c r="F48" s="5"/>
      <c r="G48" s="4">
        <f>754</f>
        <v>754</v>
      </c>
      <c r="H48" s="4">
        <f>51772</f>
        <v>51772</v>
      </c>
      <c r="I48" s="5"/>
      <c r="J48" s="4">
        <f>17632</f>
        <v>17632</v>
      </c>
      <c r="K48" s="5"/>
      <c r="L48" s="14"/>
      <c r="M48" s="5"/>
      <c r="N48" s="4"/>
      <c r="O48" s="4">
        <f>76305.8</f>
        <v>76305.8</v>
      </c>
      <c r="P48" s="4"/>
      <c r="Q48" s="14">
        <f>15000+2000+1837.98</f>
        <v>18837.98</v>
      </c>
      <c r="R48" s="5"/>
      <c r="S48" s="5"/>
      <c r="T48" s="5"/>
      <c r="U48" s="4">
        <f>8455.89+11194</f>
        <v>19649.89</v>
      </c>
      <c r="V48" s="5"/>
      <c r="W48" s="5">
        <f>195.7</f>
        <v>195.7</v>
      </c>
      <c r="X48" s="4"/>
      <c r="Y48" s="5"/>
      <c r="Z48" s="5"/>
      <c r="AA48" s="5"/>
      <c r="AB48" s="5"/>
      <c r="AC48" s="6">
        <f t="shared" si="3"/>
        <v>479466.93</v>
      </c>
    </row>
    <row r="49" spans="3:29" s="11" customFormat="1" x14ac:dyDescent="0.25">
      <c r="C49" s="2" t="s">
        <v>39</v>
      </c>
      <c r="D49" s="14">
        <f>719+67066.64</f>
        <v>67785.64</v>
      </c>
      <c r="E49" s="4">
        <f>2688</f>
        <v>2688</v>
      </c>
      <c r="F49" s="5"/>
      <c r="G49" s="4">
        <f>17.4+216.99</f>
        <v>234.39000000000001</v>
      </c>
      <c r="H49" s="5"/>
      <c r="I49" s="5"/>
      <c r="J49" s="5">
        <f>17632</f>
        <v>17632</v>
      </c>
      <c r="K49" s="4">
        <f>30276</f>
        <v>30276</v>
      </c>
      <c r="L49" s="14">
        <f>11112.9+669+1500+530+569</f>
        <v>14380.9</v>
      </c>
      <c r="M49" s="4">
        <f>1376.14</f>
        <v>1376.14</v>
      </c>
      <c r="N49" s="5"/>
      <c r="O49" s="5">
        <f>261540.76</f>
        <v>261540.76</v>
      </c>
      <c r="P49" s="4"/>
      <c r="Q49" s="14">
        <f>2000+3000</f>
        <v>5000</v>
      </c>
      <c r="R49" s="5"/>
      <c r="S49" s="5">
        <f>20828.96</f>
        <v>20828.96</v>
      </c>
      <c r="T49" s="5">
        <v>4283.99</v>
      </c>
      <c r="U49" s="4">
        <f>2097.6+1392+514</f>
        <v>4003.6</v>
      </c>
      <c r="V49" s="5"/>
      <c r="W49" s="5"/>
      <c r="X49" s="4"/>
      <c r="Y49" s="5">
        <f>5083.1</f>
        <v>5083.1000000000004</v>
      </c>
      <c r="Z49" s="4">
        <f>33427</f>
        <v>33427</v>
      </c>
      <c r="AA49" s="5"/>
      <c r="AB49" s="4"/>
      <c r="AC49" s="6">
        <f>SUM(D49:AB49)</f>
        <v>468540.48</v>
      </c>
    </row>
    <row r="50" spans="3:29" s="11" customFormat="1" x14ac:dyDescent="0.25">
      <c r="C50" s="2" t="s">
        <v>40</v>
      </c>
      <c r="D50" s="14">
        <f>252+64699.29+223676.2+38050.56+12526.25+732240.79-1662</f>
        <v>1069783.0900000001</v>
      </c>
      <c r="E50" s="4"/>
      <c r="F50" s="5"/>
      <c r="G50" s="4">
        <f>17.4+754+163.4</f>
        <v>934.8</v>
      </c>
      <c r="H50" s="4">
        <f>30032</f>
        <v>30032</v>
      </c>
      <c r="I50" s="5"/>
      <c r="J50" s="4">
        <f>17632</f>
        <v>17632</v>
      </c>
      <c r="K50" s="5">
        <v>30276</v>
      </c>
      <c r="L50" s="5">
        <f>534+400+512+575+1330</f>
        <v>3351</v>
      </c>
      <c r="M50" s="4"/>
      <c r="N50" s="5"/>
      <c r="O50" s="4">
        <f>76071.82</f>
        <v>76071.820000000007</v>
      </c>
      <c r="P50" s="4">
        <f>398</f>
        <v>398</v>
      </c>
      <c r="Q50" s="14">
        <f>300+1862.15+1000+10000+1000.06</f>
        <v>14162.21</v>
      </c>
      <c r="R50" s="5"/>
      <c r="S50" s="5"/>
      <c r="T50" s="5">
        <f>5000</f>
        <v>5000</v>
      </c>
      <c r="U50" s="5">
        <f>973</f>
        <v>973</v>
      </c>
      <c r="V50" s="5"/>
      <c r="W50" s="5"/>
      <c r="X50" s="4">
        <f>4976.9+20</f>
        <v>4996.8999999999996</v>
      </c>
      <c r="Y50" s="5"/>
      <c r="Z50" s="5"/>
      <c r="AA50" s="4"/>
      <c r="AB50" s="4"/>
      <c r="AC50" s="6">
        <f>SUM(D50:AB50)</f>
        <v>1253610.82</v>
      </c>
    </row>
    <row r="51" spans="3:29" s="11" customFormat="1" x14ac:dyDescent="0.25">
      <c r="C51" s="2" t="s">
        <v>41</v>
      </c>
      <c r="D51" s="6">
        <f>SUM(D39:D50)</f>
        <v>3705056.2199999997</v>
      </c>
      <c r="E51" s="6">
        <f t="shared" ref="E51:AB51" si="4">SUM(E39:E50)</f>
        <v>16131</v>
      </c>
      <c r="F51" s="6">
        <f t="shared" si="4"/>
        <v>3469</v>
      </c>
      <c r="G51" s="6">
        <f>SUM(G39:G50)</f>
        <v>12295.97</v>
      </c>
      <c r="H51" s="15">
        <f t="shared" si="4"/>
        <v>156711</v>
      </c>
      <c r="I51" s="15">
        <f t="shared" si="4"/>
        <v>0</v>
      </c>
      <c r="J51" s="15">
        <f t="shared" si="4"/>
        <v>105173.33</v>
      </c>
      <c r="K51" s="15">
        <f t="shared" si="4"/>
        <v>166518</v>
      </c>
      <c r="L51" s="15">
        <f t="shared" si="4"/>
        <v>92717.26</v>
      </c>
      <c r="M51" s="15">
        <f t="shared" si="4"/>
        <v>8367.93</v>
      </c>
      <c r="N51" s="6">
        <f t="shared" si="4"/>
        <v>222177</v>
      </c>
      <c r="O51" s="6">
        <f t="shared" si="4"/>
        <v>1594738.9400000002</v>
      </c>
      <c r="P51" s="15">
        <f t="shared" si="4"/>
        <v>18480.190000000002</v>
      </c>
      <c r="Q51" s="15">
        <f t="shared" si="4"/>
        <v>106000.19</v>
      </c>
      <c r="R51" s="15">
        <f t="shared" si="4"/>
        <v>17570.73</v>
      </c>
      <c r="S51" s="15">
        <f t="shared" si="4"/>
        <v>21252.959999999999</v>
      </c>
      <c r="T51" s="15">
        <f t="shared" si="4"/>
        <v>25791.22</v>
      </c>
      <c r="U51" s="15">
        <f t="shared" si="4"/>
        <v>50560.49</v>
      </c>
      <c r="V51" s="6">
        <f t="shared" si="4"/>
        <v>0</v>
      </c>
      <c r="W51" s="6">
        <f t="shared" si="4"/>
        <v>20360.59</v>
      </c>
      <c r="X51" s="6">
        <f t="shared" si="4"/>
        <v>24054.769999999997</v>
      </c>
      <c r="Y51" s="6">
        <f t="shared" si="4"/>
        <v>5083.1000000000004</v>
      </c>
      <c r="Z51" s="6">
        <f>SUM(Z39:Z50)</f>
        <v>121136</v>
      </c>
      <c r="AA51" s="15">
        <f t="shared" si="4"/>
        <v>76588.2</v>
      </c>
      <c r="AB51" s="6">
        <f t="shared" si="4"/>
        <v>0</v>
      </c>
      <c r="AC51" s="6">
        <f>SUM(AC39:AC50)</f>
        <v>6570234.0899999999</v>
      </c>
    </row>
    <row r="52" spans="3:29" s="11" customFormat="1" x14ac:dyDescent="0.25">
      <c r="C52"/>
      <c r="D52"/>
      <c r="E52"/>
      <c r="F52"/>
      <c r="G52"/>
      <c r="H52" s="16"/>
      <c r="I52" s="16"/>
      <c r="J52" s="16"/>
      <c r="K52" s="16"/>
      <c r="L52" s="16"/>
      <c r="M52" s="16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17"/>
    </row>
    <row r="53" spans="3:29" s="11" customFormat="1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t="s">
        <v>53</v>
      </c>
      <c r="AC53" s="9">
        <v>6504390</v>
      </c>
    </row>
    <row r="54" spans="3:29" s="11" customFormat="1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t="s">
        <v>54</v>
      </c>
      <c r="AC54" s="17">
        <v>66675.09</v>
      </c>
    </row>
    <row r="55" spans="3:29" s="11" customFormat="1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t="s">
        <v>28</v>
      </c>
      <c r="AC55" s="17">
        <f>SUM(AC53:AC54)</f>
        <v>6571065.0899999999</v>
      </c>
    </row>
    <row r="56" spans="3:29" s="11" customFormat="1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17">
        <f>AC55-AC51</f>
        <v>831</v>
      </c>
    </row>
    <row r="57" spans="3:29" s="11" customFormat="1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9"/>
    </row>
    <row r="58" spans="3:29" s="11" customFormat="1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t="s">
        <v>55</v>
      </c>
      <c r="AC58" s="6">
        <v>831</v>
      </c>
    </row>
    <row r="59" spans="3:29" x14ac:dyDescent="0.25">
      <c r="AB59" t="s">
        <v>47</v>
      </c>
      <c r="AC59" s="9">
        <v>719</v>
      </c>
    </row>
    <row r="60" spans="3:29" x14ac:dyDescent="0.25">
      <c r="AC60" s="9"/>
    </row>
    <row r="61" spans="3:29" x14ac:dyDescent="0.25">
      <c r="AB61" t="s">
        <v>57</v>
      </c>
      <c r="AC61" s="6">
        <f>AC58-AC59</f>
        <v>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UPVE</dc:creator>
  <cp:lastModifiedBy>UPVE</cp:lastModifiedBy>
  <dcterms:created xsi:type="dcterms:W3CDTF">2019-01-25T19:51:28Z</dcterms:created>
  <dcterms:modified xsi:type="dcterms:W3CDTF">2019-01-25T19:56:12Z</dcterms:modified>
</cp:coreProperties>
</file>