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ocuments\RESPALDO PC LILIANA\DOCUMENTOS\PUBLICACION EN PAGINA UPVE COORDINACION\PAGINA PUBLICACIÓN 2019\"/>
    </mc:Choice>
  </mc:AlternateContent>
  <bookViews>
    <workbookView xWindow="0" yWindow="0" windowWidth="20400" windowHeight="7065" activeTab="1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F20" i="3"/>
  <c r="D19" i="3"/>
  <c r="D21" i="3" s="1"/>
  <c r="F21" i="3" s="1"/>
  <c r="F18" i="3"/>
  <c r="F17" i="3"/>
  <c r="F16" i="3"/>
  <c r="F15" i="3"/>
  <c r="F14" i="3"/>
  <c r="F13" i="3"/>
  <c r="F12" i="3"/>
  <c r="F11" i="3"/>
  <c r="F10" i="3"/>
  <c r="F9" i="3"/>
  <c r="F19" i="3" l="1"/>
  <c r="F41" i="2"/>
  <c r="F36" i="2"/>
  <c r="C41" i="2" l="1"/>
  <c r="C45" i="2"/>
  <c r="C52" i="2" s="1"/>
  <c r="C36" i="2"/>
  <c r="AB20" i="1"/>
  <c r="P11" i="1" l="1"/>
  <c r="L11" i="1"/>
  <c r="Q11" i="1"/>
  <c r="S11" i="1"/>
  <c r="F11" i="1"/>
  <c r="E11" i="1"/>
  <c r="K11" i="1"/>
  <c r="D11" i="1"/>
  <c r="AB11" i="1"/>
  <c r="G11" i="1"/>
  <c r="O11" i="1"/>
  <c r="N11" i="1"/>
  <c r="V11" i="1"/>
  <c r="X11" i="1"/>
  <c r="U11" i="1" l="1"/>
  <c r="J11" i="1"/>
  <c r="H11" i="1"/>
  <c r="W11" i="1"/>
  <c r="M11" i="1"/>
  <c r="T11" i="1"/>
  <c r="Y11" i="1"/>
  <c r="P16" i="1"/>
  <c r="AC24" i="1"/>
  <c r="D39" i="1"/>
  <c r="AD55" i="1"/>
  <c r="AC11" i="1" l="1"/>
  <c r="P19" i="1"/>
  <c r="L19" i="1"/>
  <c r="W19" i="1"/>
  <c r="V19" i="1"/>
  <c r="E19" i="1"/>
  <c r="K19" i="1"/>
  <c r="J18" i="1"/>
  <c r="P15" i="1"/>
  <c r="S15" i="1"/>
  <c r="W15" i="1"/>
  <c r="Q15" i="1"/>
  <c r="Q13" i="1"/>
  <c r="W13" i="1"/>
  <c r="K13" i="1"/>
  <c r="J13" i="1"/>
  <c r="U13" i="1"/>
  <c r="S13" i="1"/>
  <c r="P13" i="1"/>
  <c r="E13" i="1"/>
  <c r="L13" i="1"/>
  <c r="X13" i="1"/>
  <c r="M13" i="1"/>
  <c r="Z13" i="1"/>
  <c r="D13" i="1"/>
  <c r="D14" i="1"/>
  <c r="G13" i="1"/>
  <c r="I10" i="1"/>
  <c r="G50" i="1" l="1"/>
  <c r="Q50" i="1"/>
  <c r="N50" i="1"/>
  <c r="O50" i="1"/>
  <c r="D50" i="1"/>
  <c r="P50" i="1"/>
  <c r="U50" i="1"/>
  <c r="J50" i="1"/>
  <c r="I19" i="1"/>
  <c r="G19" i="1"/>
  <c r="Q19" i="1"/>
  <c r="D19" i="1"/>
  <c r="T19" i="1"/>
  <c r="M19" i="1"/>
  <c r="H19" i="1"/>
  <c r="G49" i="1"/>
  <c r="P49" i="1"/>
  <c r="D49" i="1"/>
  <c r="W49" i="1"/>
  <c r="H49" i="1"/>
  <c r="U49" i="1"/>
  <c r="X49" i="1"/>
  <c r="T49" i="1"/>
  <c r="L49" i="1"/>
  <c r="Q49" i="1"/>
  <c r="V49" i="1"/>
  <c r="Y18" i="1" l="1"/>
  <c r="K18" i="1"/>
  <c r="P18" i="1"/>
  <c r="Q18" i="1"/>
  <c r="E18" i="1"/>
  <c r="AB18" i="1"/>
  <c r="L18" i="1"/>
  <c r="S18" i="1"/>
  <c r="V18" i="1"/>
  <c r="Z18" i="1"/>
  <c r="O18" i="1"/>
  <c r="N18" i="1"/>
  <c r="AC18" i="1" l="1"/>
  <c r="G48" i="1"/>
  <c r="P48" i="1"/>
  <c r="L48" i="1"/>
  <c r="Q48" i="1"/>
  <c r="X48" i="1"/>
  <c r="N48" i="1"/>
  <c r="D48" i="1"/>
  <c r="O48" i="1"/>
  <c r="F48" i="1"/>
  <c r="H48" i="1"/>
  <c r="AC48" i="1"/>
  <c r="V48" i="1"/>
  <c r="J48" i="1"/>
  <c r="K48" i="1"/>
  <c r="W48" i="1"/>
  <c r="W17" i="1"/>
  <c r="AB17" i="1"/>
  <c r="P17" i="1"/>
  <c r="Q17" i="1"/>
  <c r="X17" i="1"/>
  <c r="S17" i="1"/>
  <c r="E17" i="1"/>
  <c r="Y17" i="1"/>
  <c r="D17" i="1"/>
  <c r="G17" i="1"/>
  <c r="L17" i="1"/>
  <c r="V17" i="1"/>
  <c r="T17" i="1"/>
  <c r="M17" i="1"/>
  <c r="S16" i="1"/>
  <c r="I16" i="1"/>
  <c r="E16" i="1"/>
  <c r="M16" i="1"/>
  <c r="U16" i="1"/>
  <c r="Q16" i="1"/>
  <c r="H16" i="1"/>
  <c r="L16" i="1"/>
  <c r="X16" i="1"/>
  <c r="V16" i="1"/>
  <c r="Z16" i="1"/>
  <c r="N16" i="1"/>
  <c r="AC47" i="1"/>
  <c r="W47" i="1"/>
  <c r="P47" i="1"/>
  <c r="X47" i="1"/>
  <c r="V47" i="1"/>
  <c r="G47" i="1"/>
  <c r="L47" i="1"/>
  <c r="D47" i="1"/>
  <c r="Q47" i="1"/>
  <c r="O47" i="1"/>
  <c r="AD47" i="1" l="1"/>
  <c r="AD48" i="1"/>
  <c r="AC17" i="1"/>
  <c r="G46" i="1"/>
  <c r="F46" i="1"/>
  <c r="W46" i="1"/>
  <c r="L46" i="1"/>
  <c r="Q46" i="1"/>
  <c r="V46" i="1"/>
  <c r="T46" i="1"/>
  <c r="K46" i="1"/>
  <c r="H46" i="1"/>
  <c r="N46" i="1"/>
  <c r="O46" i="1"/>
  <c r="P46" i="1"/>
  <c r="G15" i="1"/>
  <c r="U15" i="1"/>
  <c r="J15" i="1"/>
  <c r="R15" i="1"/>
  <c r="D15" i="1"/>
  <c r="L15" i="1"/>
  <c r="E15" i="1"/>
  <c r="F15" i="1"/>
  <c r="M15" i="1"/>
  <c r="P14" i="1" l="1"/>
  <c r="G14" i="1"/>
  <c r="L14" i="1"/>
  <c r="N14" i="1"/>
  <c r="Z14" i="1"/>
  <c r="W14" i="1"/>
  <c r="E14" i="1"/>
  <c r="O14" i="1"/>
  <c r="X14" i="1"/>
  <c r="T14" i="1"/>
  <c r="Q14" i="1"/>
  <c r="M14" i="1"/>
  <c r="U14" i="1"/>
  <c r="I14" i="1"/>
  <c r="D45" i="1"/>
  <c r="G45" i="1"/>
  <c r="L45" i="1"/>
  <c r="V45" i="1"/>
  <c r="P45" i="1"/>
  <c r="H45" i="1"/>
  <c r="U45" i="1"/>
  <c r="G44" i="1" l="1"/>
  <c r="F44" i="1" l="1"/>
  <c r="Q44" i="1"/>
  <c r="L44" i="1"/>
  <c r="P44" i="1"/>
  <c r="AA44" i="1"/>
  <c r="W44" i="1"/>
  <c r="V44" i="1"/>
  <c r="D44" i="1"/>
  <c r="N44" i="1"/>
  <c r="G43" i="1" l="1"/>
  <c r="P43" i="1"/>
  <c r="L43" i="1"/>
  <c r="Q43" i="1"/>
  <c r="V43" i="1"/>
  <c r="W43" i="1"/>
  <c r="G42" i="1"/>
  <c r="D43" i="1" l="1"/>
  <c r="T13" i="1" l="1"/>
  <c r="R12" i="1"/>
  <c r="P12" i="1"/>
  <c r="Q12" i="1"/>
  <c r="J12" i="1"/>
  <c r="X12" i="1"/>
  <c r="K12" i="1"/>
  <c r="F12" i="1"/>
  <c r="E12" i="1"/>
  <c r="T12" i="1"/>
  <c r="H12" i="1"/>
  <c r="M12" i="1"/>
  <c r="N12" i="1"/>
  <c r="O12" i="1"/>
  <c r="Y12" i="1"/>
  <c r="W12" i="1"/>
  <c r="L10" i="1" l="1"/>
  <c r="E10" i="1"/>
  <c r="P10" i="1"/>
  <c r="V10" i="1"/>
  <c r="X10" i="1"/>
  <c r="Q10" i="1"/>
  <c r="D10" i="1"/>
  <c r="S10" i="1"/>
  <c r="D42" i="1"/>
  <c r="G41" i="1"/>
  <c r="O41" i="1"/>
  <c r="D41" i="1"/>
  <c r="G40" i="1"/>
  <c r="D40" i="1"/>
  <c r="F39" i="1"/>
  <c r="G39" i="1"/>
  <c r="E39" i="1"/>
  <c r="AC51" i="1" l="1"/>
  <c r="V51" i="1"/>
  <c r="N51" i="1"/>
  <c r="I51" i="1"/>
  <c r="AD50" i="1"/>
  <c r="Y51" i="1"/>
  <c r="AD49" i="1"/>
  <c r="E51" i="1"/>
  <c r="AD46" i="1"/>
  <c r="AD45" i="1"/>
  <c r="U51" i="1"/>
  <c r="AD44" i="1"/>
  <c r="Z51" i="1"/>
  <c r="S51" i="1"/>
  <c r="R51" i="1"/>
  <c r="M51" i="1"/>
  <c r="AD43" i="1"/>
  <c r="J51" i="1"/>
  <c r="AD42" i="1"/>
  <c r="T51" i="1"/>
  <c r="Q51" i="1"/>
  <c r="O51" i="1"/>
  <c r="AD41" i="1"/>
  <c r="AD40" i="1"/>
  <c r="H51" i="1"/>
  <c r="F51" i="1"/>
  <c r="AA51" i="1"/>
  <c r="X51" i="1"/>
  <c r="W51" i="1"/>
  <c r="P51" i="1"/>
  <c r="L51" i="1"/>
  <c r="K51" i="1"/>
  <c r="G51" i="1"/>
  <c r="D51" i="1"/>
  <c r="Z20" i="1"/>
  <c r="Y20" i="1"/>
  <c r="V20" i="1"/>
  <c r="T20" i="1"/>
  <c r="I20" i="1"/>
  <c r="E20" i="1"/>
  <c r="AC19" i="1"/>
  <c r="AC16" i="1"/>
  <c r="S20" i="1"/>
  <c r="AC15" i="1"/>
  <c r="M20" i="1"/>
  <c r="AC14" i="1"/>
  <c r="Q20" i="1"/>
  <c r="AC13" i="1"/>
  <c r="R20" i="1"/>
  <c r="J20" i="1"/>
  <c r="AC12" i="1"/>
  <c r="AA20" i="1"/>
  <c r="X20" i="1"/>
  <c r="W20" i="1"/>
  <c r="U20" i="1"/>
  <c r="O20" i="1"/>
  <c r="N20" i="1"/>
  <c r="L20" i="1"/>
  <c r="H20" i="1"/>
  <c r="F20" i="1"/>
  <c r="AC10" i="1"/>
  <c r="P20" i="1"/>
  <c r="K20" i="1"/>
  <c r="AC9" i="1"/>
  <c r="G20" i="1"/>
  <c r="AC8" i="1"/>
  <c r="AD39" i="1" l="1"/>
  <c r="AC20" i="1"/>
  <c r="D20" i="1"/>
  <c r="AD51" i="1" l="1"/>
  <c r="AD58" i="1" s="1"/>
</calcChain>
</file>

<file path=xl/sharedStrings.xml><?xml version="1.0" encoding="utf-8"?>
<sst xmlns="http://schemas.openxmlformats.org/spreadsheetml/2006/main" count="186" uniqueCount="87">
  <si>
    <t xml:space="preserve">UNIVERSIDAD POLITÉCNICA DEL VALLE DEL EVORA </t>
  </si>
  <si>
    <t>APORTACIÓN FEDERAL</t>
  </si>
  <si>
    <t>MES</t>
  </si>
  <si>
    <t>SERVICIOS PERSONALES</t>
  </si>
  <si>
    <t>SERVICIO TELEFONIA TRADICIONAL</t>
  </si>
  <si>
    <t>SERVICIO TELEFONIA CELULAR</t>
  </si>
  <si>
    <t>SERVICIOS FINANCIEROS Y BANCARIOS</t>
  </si>
  <si>
    <t>ENERGIA ELECTRICA</t>
  </si>
  <si>
    <t>SEGURO DE BIENES MUEBLES E INMUEBLES</t>
  </si>
  <si>
    <t>SERVICIO DE LAVANDERIA Y LIMPIEZA</t>
  </si>
  <si>
    <t>SERVICIO DE VIGILANCIA</t>
  </si>
  <si>
    <t>VIATICOS, ALIMENTACION, HOSPEDAJEY OTROS</t>
  </si>
  <si>
    <t>SERVICIO DE AGUA POTABLE</t>
  </si>
  <si>
    <t>IMPUESTOS FEDERALES(ISR POR SALARIOS)</t>
  </si>
  <si>
    <t>CUOTA PATRONAL IMSS</t>
  </si>
  <si>
    <t>SERVICIOS INTEGRALES Y OTROS SERVICIOS</t>
  </si>
  <si>
    <t>COMBUSTIBLES, LUBRICANTES Y ADITIVOS</t>
  </si>
  <si>
    <t>REFACCIONES Y ACCESORIOS MENOS DE EQ. COMPUTO</t>
  </si>
  <si>
    <t>MATERIAL DE LIMPIEZA</t>
  </si>
  <si>
    <t>SERVICIO DE INSTALACION, REPARACION</t>
  </si>
  <si>
    <t xml:space="preserve">HERRAMIENTA Y REFACCIONES </t>
  </si>
  <si>
    <t>MATERIALES, Y UTILES Y ACCESORIOS</t>
  </si>
  <si>
    <t>IMPUESTO SOBRE NOMINA</t>
  </si>
  <si>
    <t>ARTICULOS DEPORTIVOS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</si>
  <si>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</si>
  <si>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</si>
  <si>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</si>
  <si>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</si>
  <si>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</si>
  <si>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</si>
  <si>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</si>
  <si>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</si>
  <si>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</si>
  <si>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</si>
  <si>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</si>
  <si>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</si>
  <si>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</si>
  <si>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</si>
  <si>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PROVISION IMPTO SOBRE NOMINA</t>
  </si>
  <si>
    <t>IMSS, SAR E INFONAVIT</t>
  </si>
  <si>
    <t>PAGO DE ISR</t>
  </si>
  <si>
    <t>APORTACIÓN ESTATAL</t>
  </si>
  <si>
    <t>REFACCIONES Y ACCESORIOS MENORES DE EQ. COMPUTO</t>
  </si>
  <si>
    <t>SERVICIOS LEGALES, DE CONTABILIDAD</t>
  </si>
  <si>
    <t>CONGRESOS Y CONVENCIONES</t>
  </si>
  <si>
    <t>SALDO BANCOS AL 21 DE ENERO 2019</t>
  </si>
  <si>
    <t>EJERCICIO 2019</t>
  </si>
  <si>
    <t>SUBSIDIO FEDERAL 2019</t>
  </si>
  <si>
    <t>SALDO BANCOS Al 31 DICIEMBRE 2019</t>
  </si>
  <si>
    <t>SUBSIDIO ESTATAL 2019</t>
  </si>
  <si>
    <t>GASTOS CEREMONIALES</t>
  </si>
  <si>
    <t>MATERIALES Y SUMINISTRO</t>
  </si>
  <si>
    <t xml:space="preserve">MATERIALES Y SUMINISTROS </t>
  </si>
  <si>
    <t>LICENCIAS</t>
  </si>
  <si>
    <t>CAPACITACIÓN</t>
  </si>
  <si>
    <t>SALDO AL 31 DE DICIEMBRE 2019</t>
  </si>
  <si>
    <t>POLIZA DE SEGUROS</t>
  </si>
  <si>
    <t>PRESTAMO DEL FONDO DE CONTIGENCIA</t>
  </si>
  <si>
    <t xml:space="preserve"> </t>
  </si>
  <si>
    <t>PRESTAMO INGRESOS PROPIOS</t>
  </si>
  <si>
    <t xml:space="preserve">SERVICIOS PERSONALES </t>
  </si>
  <si>
    <t>SERVICIO DE TELEFONIA TRADICIONAL</t>
  </si>
  <si>
    <t>SERVICIOS DE TELEFONIA CELULAR</t>
  </si>
  <si>
    <t xml:space="preserve">ENERGIA ELECTRICA </t>
  </si>
  <si>
    <t>SEGURO DE BIENES E INMUEBLES</t>
  </si>
  <si>
    <t xml:space="preserve">SERVICIOS DE LAVANDERIA Y LIMPIEZA </t>
  </si>
  <si>
    <t>SERVICIOS DE VIGILANCIA</t>
  </si>
  <si>
    <t>VIATICOS, ALIMENTACIÓN, HOSPEDAJE Y OTROS</t>
  </si>
  <si>
    <t>IMPUESTOS FEDERALES (ISR POR SALARIOS)</t>
  </si>
  <si>
    <t>COMBUSTIBLES, LUBRICANTES Y OTROS SERVICIOS</t>
  </si>
  <si>
    <t>REFACCIONES Y ACCESORIOS MENOS DE EQ. DE COMPUTO</t>
  </si>
  <si>
    <t xml:space="preserve">SERVICIO DE INSTALACIÓN, REPARACIÓN </t>
  </si>
  <si>
    <t>HERRAMIENTA Y REFACCIONES</t>
  </si>
  <si>
    <t xml:space="preserve">MATERIALES, Y UTILES Y ACCESORIOS </t>
  </si>
  <si>
    <t xml:space="preserve">IMPUESTO SOBRE NOMINA </t>
  </si>
  <si>
    <t>SERVICIOS LEGALES DE CONTABILIDAD</t>
  </si>
  <si>
    <t>PRETAMO DE INGRESOS PROPIOS</t>
  </si>
  <si>
    <t>SALDO BANCOS AL 31 DE DICIEMBRE 2019</t>
  </si>
  <si>
    <t xml:space="preserve"> IMPUESTO SOBRE NOMINA </t>
  </si>
  <si>
    <t xml:space="preserve">POLIZA DE SEGUROS </t>
  </si>
  <si>
    <t>SUBSIDIO ESTATAL  2019</t>
  </si>
  <si>
    <t>SALDO BANCOS AL 31 DE ENERO 2019</t>
  </si>
  <si>
    <t>UNIVERSIDAD POLITÉCNICA  DEL VALLE DEL ÉVORA</t>
  </si>
  <si>
    <t xml:space="preserve">APORTACIÓN FEDERAL </t>
  </si>
  <si>
    <t>TOTAL MENSUAL</t>
  </si>
  <si>
    <t>TOTAL ANUAL</t>
  </si>
  <si>
    <t>UNIVERSIDAD POLITÉCNICA DEL VALLE DEL ÉVORA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</si>
</sst>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justify" wrapText="1"/>
    </xf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  <xf numFmtId="44" fontId="2" fillId="0" borderId="1" xfId="0" applyNumberFormat="1" applyFont="1" applyFill="1" applyBorder="1"/>
    <xf numFmtId="44" fontId="0" fillId="0" borderId="0" xfId="1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justify" wrapText="1"/>
    </xf>
    <xf numFmtId="44" fontId="0" fillId="0" borderId="0" xfId="1" applyFont="1" applyBorder="1"/>
    <xf numFmtId="44" fontId="0" fillId="0" borderId="1" xfId="1" applyFont="1" applyFill="1" applyBorder="1"/>
    <xf numFmtId="44" fontId="0" fillId="0" borderId="1" xfId="0" applyNumberFormat="1" applyFill="1" applyBorder="1"/>
    <xf numFmtId="0" fontId="0" fillId="0" borderId="0" xfId="0" applyFill="1"/>
    <xf numFmtId="44" fontId="0" fillId="0" borderId="0" xfId="0" applyNumberFormat="1"/>
    <xf numFmtId="0" fontId="0" fillId="0" borderId="1" xfId="0" applyFill="1" applyBorder="1"/>
    <xf numFmtId="44" fontId="0" fillId="0" borderId="0" xfId="0" applyNumberFormat="1" applyBorder="1"/>
    <xf numFmtId="44" fontId="2" fillId="0" borderId="0" xfId="0" applyNumberFormat="1" applyFont="1" applyBorder="1"/>
    <xf numFmtId="44" fontId="0" fillId="0" borderId="2" xfId="0" applyNumberFormat="1" applyBorder="1"/>
    <xf numFmtId="0" fontId="2" fillId="0" borderId="1" xfId="0" applyFont="1" applyFill="1" applyBorder="1"/>
    <xf numFmtId="44" fontId="0" fillId="0" borderId="0" xfId="1" applyFont="1" applyFill="1" applyBorder="1"/>
    <xf numFmtId="44" fontId="0" fillId="0" borderId="2" xfId="1" applyFont="1" applyFill="1" applyBorder="1"/>
    <xf numFmtId="44" fontId="0" fillId="0" borderId="2" xfId="1" applyFont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142875</xdr:rowOff>
    </xdr:from>
    <xdr:to>
      <xdr:col>2</xdr:col>
      <xdr:colOff>1028699</xdr:colOff>
      <xdr:row>3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42875"/>
          <a:ext cx="828674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2</xdr:row>
      <xdr:rowOff>9525</xdr:rowOff>
    </xdr:from>
    <xdr:to>
      <xdr:col>1</xdr:col>
      <xdr:colOff>2952750</xdr:colOff>
      <xdr:row>5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90525"/>
          <a:ext cx="1362075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438149</xdr:colOff>
      <xdr:row>1</xdr:row>
      <xdr:rowOff>171450</xdr:rowOff>
    </xdr:from>
    <xdr:to>
      <xdr:col>3</xdr:col>
      <xdr:colOff>771524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49" y="361950"/>
          <a:ext cx="1476375" cy="723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59"/>
  <sheetViews>
    <sheetView topLeftCell="O1" workbookViewId="0">
      <selection activeCell="AC61" sqref="AC61"/>
    </sheetView>
  </sheetViews>
  <sheetFormatPr baseColWidth="10" defaultRowHeight="15" x14ac:dyDescent="0.25"/>
  <cols>
    <col min="3" max="3" width="23.5703125" customWidth="1"/>
    <col min="4" max="4" width="25.5703125" customWidth="1"/>
    <col min="5" max="5" width="32.140625" bestFit="1" customWidth="1"/>
    <col min="6" max="6" width="27.7109375" bestFit="1" customWidth="1"/>
    <col min="7" max="7" width="13.5703125" customWidth="1"/>
    <col min="8" max="8" width="18.7109375" customWidth="1"/>
    <col min="9" max="9" width="20.140625" customWidth="1"/>
    <col min="10" max="10" width="16.85546875" customWidth="1"/>
    <col min="11" max="11" width="17.7109375" customWidth="1"/>
    <col min="12" max="12" width="18" customWidth="1"/>
    <col min="13" max="13" width="18.42578125" customWidth="1"/>
    <col min="14" max="14" width="22.7109375" customWidth="1"/>
    <col min="15" max="15" width="17" customWidth="1"/>
    <col min="16" max="16" width="19.7109375" customWidth="1"/>
    <col min="17" max="17" width="18.28515625" customWidth="1"/>
    <col min="18" max="18" width="16.42578125" customWidth="1"/>
    <col min="19" max="19" width="15.5703125" customWidth="1"/>
    <col min="20" max="20" width="14.85546875" customWidth="1"/>
    <col min="21" max="21" width="17.85546875" customWidth="1"/>
    <col min="22" max="22" width="15.28515625" customWidth="1"/>
    <col min="23" max="23" width="17.7109375" customWidth="1"/>
    <col min="24" max="24" width="17.42578125" customWidth="1"/>
    <col min="25" max="25" width="15.85546875" customWidth="1"/>
    <col min="26" max="26" width="16.28515625" customWidth="1"/>
    <col min="27" max="27" width="30" customWidth="1"/>
    <col min="28" max="28" width="21.140625" customWidth="1"/>
    <col min="29" max="29" width="37" customWidth="1"/>
    <col min="30" max="30" width="16" customWidth="1"/>
    <col min="31" max="31" width="14.140625" bestFit="1" customWidth="1"/>
    <col min="32" max="32" width="14.5703125" customWidth="1"/>
    <col min="33" max="33" width="13.7109375" customWidth="1"/>
    <col min="34" max="34" width="16.7109375" customWidth="1"/>
  </cols>
  <sheetData>
    <row r="2" spans="3:29" x14ac:dyDescent="0.25">
      <c r="E2" s="1" t="s">
        <v>0</v>
      </c>
    </row>
    <row r="3" spans="3:29" x14ac:dyDescent="0.25">
      <c r="E3" s="1" t="s">
        <v>46</v>
      </c>
    </row>
    <row r="6" spans="3:29" x14ac:dyDescent="0.25">
      <c r="C6" s="1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3:29" ht="60" x14ac:dyDescent="0.25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2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50</v>
      </c>
      <c r="T7" s="3" t="s">
        <v>18</v>
      </c>
      <c r="U7" s="3" t="s">
        <v>19</v>
      </c>
      <c r="V7" s="3" t="s">
        <v>51</v>
      </c>
      <c r="W7" s="3" t="s">
        <v>20</v>
      </c>
      <c r="X7" s="3" t="s">
        <v>21</v>
      </c>
      <c r="Y7" s="3" t="s">
        <v>23</v>
      </c>
      <c r="Z7" s="3" t="s">
        <v>22</v>
      </c>
      <c r="AA7" s="3" t="s">
        <v>53</v>
      </c>
      <c r="AB7" s="3" t="s">
        <v>54</v>
      </c>
      <c r="AC7" s="2" t="s">
        <v>24</v>
      </c>
    </row>
    <row r="8" spans="3:29" x14ac:dyDescent="0.25">
      <c r="C8" s="2" t="s">
        <v>25</v>
      </c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">
        <f t="shared" ref="AC8:AC19" si="0">SUM(D8:AA8)</f>
        <v>0</v>
      </c>
    </row>
    <row r="9" spans="3:29" x14ac:dyDescent="0.25">
      <c r="C9" s="2" t="s">
        <v>26</v>
      </c>
      <c r="D9" s="4"/>
      <c r="E9" s="4"/>
      <c r="F9" s="4"/>
      <c r="G9" s="4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>
        <f t="shared" si="0"/>
        <v>0</v>
      </c>
    </row>
    <row r="10" spans="3:29" x14ac:dyDescent="0.25">
      <c r="C10" s="2" t="s">
        <v>27</v>
      </c>
      <c r="D10" s="4">
        <f>71261.62+230067.03</f>
        <v>301328.65000000002</v>
      </c>
      <c r="E10" s="4">
        <f>2688</f>
        <v>2688</v>
      </c>
      <c r="F10" s="4"/>
      <c r="G10" s="4"/>
      <c r="H10" s="4"/>
      <c r="I10" s="4">
        <f>20065.1+11632.42+27</f>
        <v>31724.519999999997</v>
      </c>
      <c r="J10" s="4"/>
      <c r="K10" s="5"/>
      <c r="L10" s="4">
        <f>1168+1239+1339+1504+2182+1200+10400+91+160+605.01+73+550</f>
        <v>20511.009999999998</v>
      </c>
      <c r="M10" s="5"/>
      <c r="N10" s="4"/>
      <c r="O10" s="4"/>
      <c r="P10" s="4">
        <f>1800+1450+20+6032+1450+1450+200+34696.84+4602</f>
        <v>51700.84</v>
      </c>
      <c r="Q10" s="4">
        <f>2536.67+1902.22+5413.08+945.02+1040.21+1069.66+600+2000+100</f>
        <v>15606.86</v>
      </c>
      <c r="R10" s="4"/>
      <c r="S10" s="4">
        <f>9558.4+1218+521.2</f>
        <v>11297.6</v>
      </c>
      <c r="T10" s="4"/>
      <c r="U10" s="4"/>
      <c r="V10" s="4">
        <f>13088.74+2153+34336+26514.29</f>
        <v>76092.03</v>
      </c>
      <c r="W10" s="4"/>
      <c r="X10" s="4">
        <f>4928.3</f>
        <v>4928.3</v>
      </c>
      <c r="Y10" s="4"/>
      <c r="Z10" s="4"/>
      <c r="AA10" s="4"/>
      <c r="AB10" s="4"/>
      <c r="AC10" s="6">
        <f t="shared" si="0"/>
        <v>515877.81</v>
      </c>
    </row>
    <row r="11" spans="3:29" s="16" customFormat="1" x14ac:dyDescent="0.25">
      <c r="C11" s="22" t="s">
        <v>28</v>
      </c>
      <c r="D11" s="14">
        <f>12508.5+215572.84+12508.5+12508.5+68248.73+67480.6+215572.84</f>
        <v>604400.51</v>
      </c>
      <c r="E11" s="14">
        <f>2689</f>
        <v>2689</v>
      </c>
      <c r="F11" s="14">
        <f>560+560</f>
        <v>1120</v>
      </c>
      <c r="G11" s="14">
        <f>435.3+435.3+435.3</f>
        <v>1305.9000000000001</v>
      </c>
      <c r="H11" s="14">
        <f>18235</f>
        <v>18235</v>
      </c>
      <c r="I11" s="14"/>
      <c r="J11" s="14">
        <f>18513.6+18513.6+18513.6</f>
        <v>55540.799999999996</v>
      </c>
      <c r="K11" s="18">
        <f>31668+31668+31668</f>
        <v>95004</v>
      </c>
      <c r="L11" s="14">
        <f>3446.04+575+2486+812+358+3000+70+643+6337.08+1538+9462.09+4515.71+3768+730+340+6430.71+146+73</f>
        <v>44730.630000000005</v>
      </c>
      <c r="M11" s="18">
        <f>2925.43</f>
        <v>2925.43</v>
      </c>
      <c r="N11" s="14">
        <f>95917</f>
        <v>95917</v>
      </c>
      <c r="O11" s="14">
        <f>82157.71</f>
        <v>82157.710000000006</v>
      </c>
      <c r="P11" s="14">
        <f>500+630+74.9+20000+20+15000+2362.5+200+291.01</f>
        <v>39078.410000000003</v>
      </c>
      <c r="Q11" s="14">
        <f>1762.09+880.45+2936.25+1993.72+15000+4624.19+1149.95+500+100</f>
        <v>28946.65</v>
      </c>
      <c r="R11" s="14"/>
      <c r="S11" s="14">
        <f>2300+1325+6669.77+440+1392</f>
        <v>12126.77</v>
      </c>
      <c r="T11" s="14">
        <f>5672.4</f>
        <v>5672.4</v>
      </c>
      <c r="U11" s="14">
        <f>1588+5960.99+5104.98</f>
        <v>12653.97</v>
      </c>
      <c r="V11" s="14">
        <f>141.5+510.2+217.9+4776.06</f>
        <v>5645.6600000000008</v>
      </c>
      <c r="W11" s="14">
        <f>2381.1</f>
        <v>2381.1</v>
      </c>
      <c r="X11" s="14">
        <f>3515.96</f>
        <v>3515.96</v>
      </c>
      <c r="Y11" s="14">
        <f>15834+5554.08</f>
        <v>21388.080000000002</v>
      </c>
      <c r="Z11" s="14"/>
      <c r="AA11" s="14"/>
      <c r="AB11" s="14">
        <f>11586.66+3712</f>
        <v>15298.66</v>
      </c>
      <c r="AC11" s="15">
        <f>SUM(D11:AB11)</f>
        <v>1150733.6399999999</v>
      </c>
    </row>
    <row r="12" spans="3:29" x14ac:dyDescent="0.25">
      <c r="C12" s="2" t="s">
        <v>29</v>
      </c>
      <c r="D12" s="4"/>
      <c r="E12" s="4">
        <f>2689</f>
        <v>2689</v>
      </c>
      <c r="F12" s="4">
        <f>559</f>
        <v>559</v>
      </c>
      <c r="G12" s="4"/>
      <c r="H12" s="4">
        <f>18139</f>
        <v>18139</v>
      </c>
      <c r="I12" s="5"/>
      <c r="J12" s="4">
        <f>18513.6</f>
        <v>18513.599999999999</v>
      </c>
      <c r="K12" s="5">
        <f>31668</f>
        <v>31668</v>
      </c>
      <c r="L12" s="4"/>
      <c r="M12" s="5">
        <f>1440.99</f>
        <v>1440.99</v>
      </c>
      <c r="N12" s="4">
        <f>91168</f>
        <v>91168</v>
      </c>
      <c r="O12" s="4">
        <f>277034.74</f>
        <v>277034.74</v>
      </c>
      <c r="P12" s="4">
        <f>23200+1450+6513.6+1298+20000</f>
        <v>52461.599999999999</v>
      </c>
      <c r="Q12" s="4">
        <f>2000+2000+5000</f>
        <v>9000</v>
      </c>
      <c r="R12" s="4">
        <f>4940.04+13464.86</f>
        <v>18404.900000000001</v>
      </c>
      <c r="S12" s="4"/>
      <c r="T12" s="4">
        <f>5001.92</f>
        <v>5001.92</v>
      </c>
      <c r="U12" s="4"/>
      <c r="V12" s="4"/>
      <c r="W12" s="4">
        <f>1197+2282.47+6845.07</f>
        <v>10324.539999999999</v>
      </c>
      <c r="X12" s="4">
        <f>1411.02+5646.3</f>
        <v>7057.32</v>
      </c>
      <c r="Y12" s="4">
        <f>560</f>
        <v>560</v>
      </c>
      <c r="Z12" s="4"/>
      <c r="AA12" s="4"/>
      <c r="AB12" s="4"/>
      <c r="AC12" s="6">
        <f t="shared" si="0"/>
        <v>544022.61</v>
      </c>
    </row>
    <row r="13" spans="3:29" x14ac:dyDescent="0.25">
      <c r="C13" s="2" t="s">
        <v>30</v>
      </c>
      <c r="D13" s="4">
        <f>12508.5+64471.81+215572.84</f>
        <v>292553.15000000002</v>
      </c>
      <c r="E13" s="4">
        <f>2688</f>
        <v>2688</v>
      </c>
      <c r="F13" s="4"/>
      <c r="G13" s="4">
        <f>435.3</f>
        <v>435.3</v>
      </c>
      <c r="H13" s="5"/>
      <c r="I13" s="4"/>
      <c r="J13" s="4">
        <f>18513.6</f>
        <v>18513.599999999999</v>
      </c>
      <c r="K13" s="4">
        <f>31668</f>
        <v>31668</v>
      </c>
      <c r="L13" s="4">
        <f>2792+1519+273+12345.61+492</f>
        <v>17421.61</v>
      </c>
      <c r="M13" s="4">
        <f>1440.99</f>
        <v>1440.99</v>
      </c>
      <c r="N13" s="4"/>
      <c r="O13" s="4"/>
      <c r="P13" s="4">
        <f>46400+1000+229.68+1450</f>
        <v>49079.68</v>
      </c>
      <c r="Q13" s="4">
        <f>15000+2000+200+2000</f>
        <v>19200</v>
      </c>
      <c r="R13" s="4"/>
      <c r="S13" s="4">
        <f>1653+1000+278.4</f>
        <v>2931.4</v>
      </c>
      <c r="T13" s="4">
        <f>5069.2</f>
        <v>5069.2</v>
      </c>
      <c r="U13" s="4">
        <f>2688.38+3567.14</f>
        <v>6255.52</v>
      </c>
      <c r="V13" s="4"/>
      <c r="W13" s="4">
        <f>3520.69+2542.5</f>
        <v>6063.1900000000005</v>
      </c>
      <c r="X13" s="4">
        <f>5113.4</f>
        <v>5113.3999999999996</v>
      </c>
      <c r="Y13" s="4"/>
      <c r="Z13" s="4">
        <f>41805</f>
        <v>41805</v>
      </c>
      <c r="AA13" s="4"/>
      <c r="AB13" s="4"/>
      <c r="AC13" s="6">
        <f t="shared" si="0"/>
        <v>500238.04000000004</v>
      </c>
    </row>
    <row r="14" spans="3:29" x14ac:dyDescent="0.25">
      <c r="C14" s="2" t="s">
        <v>31</v>
      </c>
      <c r="D14" s="4">
        <f>12508.5+285874.71</f>
        <v>298383.21000000002</v>
      </c>
      <c r="E14" s="4">
        <f>2689</f>
        <v>2689</v>
      </c>
      <c r="F14" s="4"/>
      <c r="G14" s="4">
        <f>435.3</f>
        <v>435.3</v>
      </c>
      <c r="H14" s="4"/>
      <c r="I14" s="4">
        <f>10239.56+212+2603.5</f>
        <v>13055.06</v>
      </c>
      <c r="J14" s="4"/>
      <c r="K14" s="5"/>
      <c r="L14" s="4">
        <f>7500</f>
        <v>7500</v>
      </c>
      <c r="M14" s="4">
        <f>1440.99</f>
        <v>1440.99</v>
      </c>
      <c r="N14" s="4">
        <f>88234</f>
        <v>88234</v>
      </c>
      <c r="O14" s="4">
        <f>277336.63</f>
        <v>277336.63</v>
      </c>
      <c r="P14" s="4">
        <f>2760.8+157.5+1450+25279.99</f>
        <v>29648.29</v>
      </c>
      <c r="Q14" s="5">
        <f>15000+2000</f>
        <v>17000</v>
      </c>
      <c r="R14" s="5"/>
      <c r="S14" s="5"/>
      <c r="T14" s="5">
        <f>4989.16</f>
        <v>4989.16</v>
      </c>
      <c r="U14" s="5">
        <f>1137+3400</f>
        <v>4537</v>
      </c>
      <c r="V14" s="5"/>
      <c r="W14" s="4">
        <f>751.01+2741</f>
        <v>3492.01</v>
      </c>
      <c r="X14" s="5">
        <f>3993.7</f>
        <v>3993.7</v>
      </c>
      <c r="Y14" s="5"/>
      <c r="Z14" s="5">
        <f>34285</f>
        <v>34285</v>
      </c>
      <c r="AA14" s="5"/>
      <c r="AB14" s="5"/>
      <c r="AC14" s="6">
        <f t="shared" si="0"/>
        <v>787019.35</v>
      </c>
    </row>
    <row r="15" spans="3:29" x14ac:dyDescent="0.25">
      <c r="C15" s="2" t="s">
        <v>32</v>
      </c>
      <c r="D15" s="4">
        <f>291045.77+12508.5+307056.54+12508.5</f>
        <v>623119.31000000006</v>
      </c>
      <c r="E15" s="4">
        <f>2688</f>
        <v>2688</v>
      </c>
      <c r="F15" s="4">
        <f>560</f>
        <v>560</v>
      </c>
      <c r="G15" s="4">
        <f>435.3+435.3+1066.04</f>
        <v>1936.6399999999999</v>
      </c>
      <c r="H15" s="5"/>
      <c r="I15" s="5"/>
      <c r="J15" s="4">
        <f>18513.6+18513.6</f>
        <v>37027.199999999997</v>
      </c>
      <c r="K15" s="4"/>
      <c r="L15" s="4">
        <f>2620+472.2+6895.92</f>
        <v>9988.119999999999</v>
      </c>
      <c r="M15" s="4">
        <f>1440.99</f>
        <v>1440.99</v>
      </c>
      <c r="N15" s="5"/>
      <c r="O15" s="5"/>
      <c r="P15" s="4">
        <f>2800+1450+2760.8+1450+166+67.9+410+2000+941.59</f>
        <v>12046.289999999999</v>
      </c>
      <c r="Q15" s="4">
        <f>200+15000+2084.59+200+600</f>
        <v>18084.59</v>
      </c>
      <c r="R15" s="4">
        <f>5600.07+3650</f>
        <v>9250.07</v>
      </c>
      <c r="S15" s="4">
        <f>546.41</f>
        <v>546.41</v>
      </c>
      <c r="T15" s="5"/>
      <c r="U15" s="5">
        <f>3155.2+7134+3497.83+2197.05</f>
        <v>15984.080000000002</v>
      </c>
      <c r="V15" s="5"/>
      <c r="W15" s="4">
        <f>1536.3+1187+1725</f>
        <v>4448.3</v>
      </c>
      <c r="X15" s="4"/>
      <c r="Y15" s="5"/>
      <c r="Z15" s="5"/>
      <c r="AA15" s="5"/>
      <c r="AB15" s="5"/>
      <c r="AC15" s="6">
        <f t="shared" si="0"/>
        <v>737120</v>
      </c>
    </row>
    <row r="16" spans="3:29" x14ac:dyDescent="0.25">
      <c r="C16" s="2" t="s">
        <v>33</v>
      </c>
      <c r="D16" s="4"/>
      <c r="E16" s="5">
        <f>2689</f>
        <v>2689</v>
      </c>
      <c r="F16" s="4"/>
      <c r="G16" s="4"/>
      <c r="H16" s="4">
        <f>51861</f>
        <v>51861</v>
      </c>
      <c r="I16" s="4">
        <f>212+10837.72</f>
        <v>11049.72</v>
      </c>
      <c r="J16" s="4"/>
      <c r="K16" s="5"/>
      <c r="L16" s="4">
        <f>800+395+255+218.01</f>
        <v>1668.01</v>
      </c>
      <c r="M16" s="5">
        <f>1440.99</f>
        <v>1440.99</v>
      </c>
      <c r="N16" s="4">
        <f>93350</f>
        <v>93350</v>
      </c>
      <c r="O16" s="4"/>
      <c r="P16" s="4">
        <f>571.51+2760.8+40000</f>
        <v>43332.31</v>
      </c>
      <c r="Q16" s="4">
        <f>20000+2000</f>
        <v>22000</v>
      </c>
      <c r="R16" s="4"/>
      <c r="S16" s="4">
        <f>4105.24+2700</f>
        <v>6805.24</v>
      </c>
      <c r="T16" s="4"/>
      <c r="U16" s="4">
        <f>10575.27</f>
        <v>10575.27</v>
      </c>
      <c r="V16" s="4">
        <f>449.6</f>
        <v>449.6</v>
      </c>
      <c r="W16" s="4"/>
      <c r="X16" s="4">
        <f>1098</f>
        <v>1098</v>
      </c>
      <c r="Y16" s="4"/>
      <c r="Z16" s="4">
        <f>34931</f>
        <v>34931</v>
      </c>
      <c r="AA16" s="4"/>
      <c r="AB16" s="4"/>
      <c r="AC16" s="6">
        <f t="shared" si="0"/>
        <v>281250.14</v>
      </c>
    </row>
    <row r="17" spans="3:32" x14ac:dyDescent="0.25">
      <c r="C17" s="2" t="s">
        <v>34</v>
      </c>
      <c r="D17" s="4">
        <f>12508.5+283043.05+12508.5+298653.16</f>
        <v>606713.21</v>
      </c>
      <c r="E17" s="4">
        <f>2689</f>
        <v>2689</v>
      </c>
      <c r="F17" s="4"/>
      <c r="G17" s="4">
        <f>435.3+435.3</f>
        <v>870.6</v>
      </c>
      <c r="H17" s="4"/>
      <c r="I17" s="5"/>
      <c r="J17" s="4"/>
      <c r="K17" s="4"/>
      <c r="L17" s="4">
        <f>1494.03+115+1898+2888+3137</f>
        <v>9532.0299999999988</v>
      </c>
      <c r="M17" s="4">
        <f>2925.43</f>
        <v>2925.43</v>
      </c>
      <c r="N17" s="4"/>
      <c r="O17" s="5"/>
      <c r="P17" s="4">
        <f>1276+3808.2+343.91+231+42+400+2242.24</f>
        <v>8343.3499999999985</v>
      </c>
      <c r="Q17" s="4">
        <f>1406.29+20000+2000+700+2000</f>
        <v>26106.29</v>
      </c>
      <c r="R17" s="4"/>
      <c r="S17" s="5">
        <f>1147.2+987.64+340+2325</f>
        <v>4799.84</v>
      </c>
      <c r="T17" s="5">
        <f>4264.16</f>
        <v>4264.16</v>
      </c>
      <c r="U17" s="5"/>
      <c r="V17" s="5">
        <f>163.9+220+775.32+7160.56+7196.08</f>
        <v>15515.86</v>
      </c>
      <c r="W17" s="4">
        <f>1130</f>
        <v>1130</v>
      </c>
      <c r="X17" s="5">
        <f>311.81</f>
        <v>311.81</v>
      </c>
      <c r="Y17" s="5">
        <f>13746</f>
        <v>13746</v>
      </c>
      <c r="Z17" s="5"/>
      <c r="AA17" s="5"/>
      <c r="AB17" s="5">
        <f>14205.8+441.06+2773.85+8730+8730</f>
        <v>34880.71</v>
      </c>
      <c r="AC17" s="6">
        <f>SUM(D17:AB17)</f>
        <v>731828.29</v>
      </c>
    </row>
    <row r="18" spans="3:32" x14ac:dyDescent="0.25">
      <c r="C18" s="2" t="s">
        <v>35</v>
      </c>
      <c r="D18" s="4"/>
      <c r="E18" s="5">
        <f>2688</f>
        <v>2688</v>
      </c>
      <c r="F18" s="4"/>
      <c r="G18" s="4"/>
      <c r="H18" s="4"/>
      <c r="I18" s="5"/>
      <c r="J18" s="4">
        <f>18513.6+18513.6</f>
        <v>37027.199999999997</v>
      </c>
      <c r="K18" s="4">
        <f>31668+31668</f>
        <v>63336</v>
      </c>
      <c r="L18" s="4">
        <f>8540+251.9+2263.09+4032+209+5827.71+4513</f>
        <v>25636.7</v>
      </c>
      <c r="M18" s="5"/>
      <c r="N18" s="4">
        <f>87588</f>
        <v>87588</v>
      </c>
      <c r="O18" s="4">
        <f>282125.59</f>
        <v>282125.59000000003</v>
      </c>
      <c r="P18" s="5">
        <f>2548.05+36.91+443+1160.07+20+306+25520+2894.2</f>
        <v>32928.229999999996</v>
      </c>
      <c r="Q18" s="5">
        <f>200.05+200+1000</f>
        <v>1400.05</v>
      </c>
      <c r="R18" s="4"/>
      <c r="S18" s="4">
        <f>620.4</f>
        <v>620.4</v>
      </c>
      <c r="T18" s="4"/>
      <c r="U18" s="4"/>
      <c r="V18" s="4">
        <f>3188.84</f>
        <v>3188.84</v>
      </c>
      <c r="W18" s="4"/>
      <c r="X18" s="4"/>
      <c r="Y18" s="4">
        <f>3793.2+9396</f>
        <v>13189.2</v>
      </c>
      <c r="Z18" s="4">
        <f>34412</f>
        <v>34412</v>
      </c>
      <c r="AA18" s="4"/>
      <c r="AB18" s="4">
        <f>8730</f>
        <v>8730</v>
      </c>
      <c r="AC18" s="6">
        <f>SUM(D18:AB18)</f>
        <v>592870.21</v>
      </c>
    </row>
    <row r="19" spans="3:32" x14ac:dyDescent="0.25">
      <c r="C19" s="2" t="s">
        <v>36</v>
      </c>
      <c r="D19" s="4">
        <f>64666.02+359056.23+300670.6+12508.5</f>
        <v>736901.35</v>
      </c>
      <c r="E19" s="5">
        <f>2689</f>
        <v>2689</v>
      </c>
      <c r="F19" s="4"/>
      <c r="G19" s="4">
        <f>435.3+1066.04</f>
        <v>1501.34</v>
      </c>
      <c r="H19" s="5">
        <f>26571</f>
        <v>26571</v>
      </c>
      <c r="I19" s="4">
        <f>9325.56</f>
        <v>9325.56</v>
      </c>
      <c r="J19" s="5"/>
      <c r="K19" s="4">
        <f>31668</f>
        <v>31668</v>
      </c>
      <c r="L19" s="4">
        <f>2800+3030+5274+564+610+657+584+1032</f>
        <v>14551</v>
      </c>
      <c r="M19" s="5">
        <f>1440.99</f>
        <v>1440.99</v>
      </c>
      <c r="N19" s="4"/>
      <c r="O19" s="5"/>
      <c r="P19" s="5">
        <f>1296+506.5+1225.84+7540+3479.88+36000+1053</f>
        <v>51101.22</v>
      </c>
      <c r="Q19" s="5">
        <f>2986.2+100+594.4+900+750.9+3967.03+20000</f>
        <v>29298.53</v>
      </c>
      <c r="R19" s="5"/>
      <c r="S19" s="4"/>
      <c r="T19" s="4">
        <f>4952.04</f>
        <v>4952.04</v>
      </c>
      <c r="U19" s="4"/>
      <c r="V19" s="4">
        <f>169</f>
        <v>169</v>
      </c>
      <c r="W19" s="4">
        <f>200+294.99+2746</f>
        <v>3240.99</v>
      </c>
      <c r="X19" s="4"/>
      <c r="Y19" s="4"/>
      <c r="Z19" s="4"/>
      <c r="AA19" s="4"/>
      <c r="AB19" s="4"/>
      <c r="AC19" s="6">
        <f t="shared" si="0"/>
        <v>913410.02</v>
      </c>
    </row>
    <row r="20" spans="3:32" x14ac:dyDescent="0.25">
      <c r="C20" s="2" t="s">
        <v>37</v>
      </c>
      <c r="D20" s="7">
        <f t="shared" ref="D20:AA20" si="1">SUM(D8:D19)</f>
        <v>3463399.39</v>
      </c>
      <c r="E20" s="8">
        <f t="shared" si="1"/>
        <v>26886</v>
      </c>
      <c r="F20" s="8">
        <f t="shared" si="1"/>
        <v>2239</v>
      </c>
      <c r="G20" s="8">
        <f t="shared" si="1"/>
        <v>6485.08</v>
      </c>
      <c r="H20" s="8">
        <f t="shared" si="1"/>
        <v>114806</v>
      </c>
      <c r="I20" s="8">
        <f t="shared" si="1"/>
        <v>65154.859999999993</v>
      </c>
      <c r="J20" s="8">
        <f t="shared" si="1"/>
        <v>166622.39999999999</v>
      </c>
      <c r="K20" s="8">
        <f t="shared" si="1"/>
        <v>253344</v>
      </c>
      <c r="L20" s="8">
        <f t="shared" si="1"/>
        <v>151539.10999999999</v>
      </c>
      <c r="M20" s="8">
        <f t="shared" si="1"/>
        <v>14496.8</v>
      </c>
      <c r="N20" s="7">
        <f t="shared" si="1"/>
        <v>456257</v>
      </c>
      <c r="O20" s="7">
        <f t="shared" si="1"/>
        <v>918654.67000000016</v>
      </c>
      <c r="P20" s="7">
        <f t="shared" si="1"/>
        <v>369720.22</v>
      </c>
      <c r="Q20" s="7">
        <f t="shared" si="1"/>
        <v>186642.97</v>
      </c>
      <c r="R20" s="7">
        <f t="shared" si="1"/>
        <v>27654.97</v>
      </c>
      <c r="S20" s="7">
        <f t="shared" si="1"/>
        <v>39127.660000000011</v>
      </c>
      <c r="T20" s="7">
        <f t="shared" si="1"/>
        <v>29948.880000000001</v>
      </c>
      <c r="U20" s="7">
        <f t="shared" si="1"/>
        <v>50005.84</v>
      </c>
      <c r="V20" s="7">
        <f t="shared" si="1"/>
        <v>101060.99</v>
      </c>
      <c r="W20" s="7">
        <f t="shared" si="1"/>
        <v>31080.130000000005</v>
      </c>
      <c r="X20" s="7">
        <f t="shared" si="1"/>
        <v>26018.49</v>
      </c>
      <c r="Y20" s="7">
        <f t="shared" si="1"/>
        <v>48883.28</v>
      </c>
      <c r="Z20" s="7">
        <f t="shared" si="1"/>
        <v>145433</v>
      </c>
      <c r="AA20" s="7">
        <f t="shared" si="1"/>
        <v>0</v>
      </c>
      <c r="AB20" s="7">
        <f>SUM(AB8:AB19)</f>
        <v>58909.369999999995</v>
      </c>
      <c r="AC20" s="7">
        <f>SUM(AC8:AC19)</f>
        <v>6754370.1099999994</v>
      </c>
    </row>
    <row r="22" spans="3:32" x14ac:dyDescent="0.25">
      <c r="AA22" t="s">
        <v>47</v>
      </c>
      <c r="AC22" s="9">
        <v>7402536.2699999996</v>
      </c>
    </row>
    <row r="23" spans="3:32" x14ac:dyDescent="0.25">
      <c r="AA23" t="s">
        <v>59</v>
      </c>
      <c r="AC23" s="9">
        <v>3.99</v>
      </c>
    </row>
    <row r="24" spans="3:32" x14ac:dyDescent="0.25">
      <c r="AC24" s="9">
        <f>SUM(AC22:AC23)</f>
        <v>7402540.2599999998</v>
      </c>
    </row>
    <row r="25" spans="3:32" x14ac:dyDescent="0.25">
      <c r="AA25" t="s">
        <v>48</v>
      </c>
      <c r="AC25" s="4">
        <v>648166.16</v>
      </c>
      <c r="AE25" s="17"/>
      <c r="AF25" s="17"/>
    </row>
    <row r="26" spans="3:32" x14ac:dyDescent="0.25">
      <c r="AA26" t="s">
        <v>38</v>
      </c>
      <c r="AC26" s="9">
        <v>80367</v>
      </c>
      <c r="AE26" s="17"/>
    </row>
    <row r="27" spans="3:32" x14ac:dyDescent="0.25">
      <c r="AA27" t="s">
        <v>39</v>
      </c>
      <c r="AC27" s="9">
        <v>282089.15000000002</v>
      </c>
    </row>
    <row r="28" spans="3:32" x14ac:dyDescent="0.25">
      <c r="AA28" t="s">
        <v>40</v>
      </c>
      <c r="AC28" s="9">
        <v>285502</v>
      </c>
    </row>
    <row r="29" spans="3:32" x14ac:dyDescent="0.25">
      <c r="AA29" t="s">
        <v>56</v>
      </c>
      <c r="AC29" s="9">
        <v>212</v>
      </c>
    </row>
    <row r="30" spans="3:32" x14ac:dyDescent="0.25">
      <c r="AC30" s="9"/>
    </row>
    <row r="31" spans="3:32" x14ac:dyDescent="0.25">
      <c r="AA31" t="s">
        <v>45</v>
      </c>
      <c r="AC31" s="6">
        <v>0</v>
      </c>
    </row>
    <row r="33" spans="3:30" s="11" customFormat="1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3:30" s="11" customFormat="1" x14ac:dyDescent="0.25">
      <c r="C34" s="10"/>
      <c r="D34" s="10"/>
      <c r="E34" s="10"/>
      <c r="F34" s="10"/>
      <c r="G34" s="12"/>
      <c r="H34" s="10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0"/>
    </row>
    <row r="35" spans="3:30" s="11" customFormat="1" x14ac:dyDescent="0.25">
      <c r="C35" s="1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3:30" s="11" customFormat="1" x14ac:dyDescent="0.25">
      <c r="C36" s="10"/>
      <c r="D36" s="13"/>
      <c r="H36" s="13"/>
      <c r="J36" s="13"/>
      <c r="L36" s="13"/>
      <c r="N36" s="13"/>
      <c r="O36" s="13"/>
      <c r="AC36" s="13"/>
    </row>
    <row r="37" spans="3:30" s="11" customFormat="1" x14ac:dyDescent="0.25">
      <c r="C37" s="1" t="s">
        <v>41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s="11" customFormat="1" ht="60" x14ac:dyDescent="0.25">
      <c r="C38" s="2" t="s">
        <v>2</v>
      </c>
      <c r="D38" s="2" t="s">
        <v>3</v>
      </c>
      <c r="E38" s="2" t="s">
        <v>4</v>
      </c>
      <c r="F38" s="2" t="s">
        <v>5</v>
      </c>
      <c r="G38" s="3" t="s">
        <v>6</v>
      </c>
      <c r="H38" s="2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3" t="s">
        <v>14</v>
      </c>
      <c r="P38" s="3" t="s">
        <v>15</v>
      </c>
      <c r="Q38" s="3" t="s">
        <v>16</v>
      </c>
      <c r="R38" s="3" t="s">
        <v>42</v>
      </c>
      <c r="S38" s="3" t="s">
        <v>50</v>
      </c>
      <c r="T38" s="3" t="s">
        <v>18</v>
      </c>
      <c r="U38" s="3" t="s">
        <v>19</v>
      </c>
      <c r="V38" s="3" t="s">
        <v>52</v>
      </c>
      <c r="W38" s="3" t="s">
        <v>20</v>
      </c>
      <c r="X38" s="3" t="s">
        <v>21</v>
      </c>
      <c r="Y38" s="3" t="s">
        <v>23</v>
      </c>
      <c r="Z38" s="3" t="s">
        <v>22</v>
      </c>
      <c r="AA38" s="3" t="s">
        <v>43</v>
      </c>
      <c r="AB38" s="3" t="s">
        <v>54</v>
      </c>
      <c r="AC38" s="3" t="s">
        <v>44</v>
      </c>
      <c r="AD38" s="2" t="s">
        <v>24</v>
      </c>
    </row>
    <row r="39" spans="3:30" s="11" customFormat="1" x14ac:dyDescent="0.25">
      <c r="C39" s="2" t="s">
        <v>25</v>
      </c>
      <c r="D39" s="4">
        <f>214282+67958.01+12105+12105+67565.08+231744.06</f>
        <v>605759.15</v>
      </c>
      <c r="E39" s="4">
        <f>2688</f>
        <v>2688</v>
      </c>
      <c r="F39" s="4">
        <f>560</f>
        <v>560</v>
      </c>
      <c r="G39" s="4">
        <f>421.25+421.25</f>
        <v>842.5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4">
        <f t="shared" ref="AD39:AD46" si="2">SUM(D39:AC39)</f>
        <v>609849.65</v>
      </c>
    </row>
    <row r="40" spans="3:30" s="11" customFormat="1" x14ac:dyDescent="0.25">
      <c r="C40" s="2" t="s">
        <v>26</v>
      </c>
      <c r="D40" s="4">
        <f>67149.97+12508.5+217248.71+72397.27+12508.5+187864.19</f>
        <v>569677.14</v>
      </c>
      <c r="E40" s="4"/>
      <c r="F40" s="4"/>
      <c r="G40" s="5">
        <f>435.3+435.3+754</f>
        <v>1624.6</v>
      </c>
      <c r="H40" s="4"/>
      <c r="I40" s="4"/>
      <c r="J40" s="4"/>
      <c r="K40" s="5"/>
      <c r="L40" s="4"/>
      <c r="M40" s="5"/>
      <c r="N40" s="4"/>
      <c r="O40" s="4"/>
      <c r="P40" s="4"/>
      <c r="Q40" s="4"/>
      <c r="R40" s="5"/>
      <c r="S40" s="5"/>
      <c r="T40" s="5"/>
      <c r="U40" s="5"/>
      <c r="V40" s="5"/>
      <c r="W40" s="4"/>
      <c r="X40" s="5"/>
      <c r="Y40" s="5"/>
      <c r="Z40" s="5"/>
      <c r="AA40" s="5"/>
      <c r="AB40" s="5"/>
      <c r="AC40" s="5"/>
      <c r="AD40" s="14">
        <f t="shared" si="2"/>
        <v>571301.74</v>
      </c>
    </row>
    <row r="41" spans="3:30" s="11" customFormat="1" x14ac:dyDescent="0.25">
      <c r="C41" s="2" t="s">
        <v>27</v>
      </c>
      <c r="D41" s="4">
        <f>1995+72585.26+215484.69+12508.5</f>
        <v>302573.45</v>
      </c>
      <c r="E41" s="4"/>
      <c r="F41" s="5"/>
      <c r="G41" s="4">
        <f>435.3+754</f>
        <v>1189.3</v>
      </c>
      <c r="H41" s="4"/>
      <c r="I41" s="5"/>
      <c r="J41" s="4"/>
      <c r="K41" s="4"/>
      <c r="L41" s="4"/>
      <c r="M41" s="5"/>
      <c r="N41" s="4"/>
      <c r="O41" s="4">
        <f>259629.76</f>
        <v>259629.76</v>
      </c>
      <c r="P41" s="5"/>
      <c r="Q41" s="4"/>
      <c r="R41" s="4"/>
      <c r="S41" s="4"/>
      <c r="T41" s="4"/>
      <c r="U41" s="4"/>
      <c r="V41" s="5"/>
      <c r="W41" s="4"/>
      <c r="X41" s="5"/>
      <c r="Y41" s="5"/>
      <c r="Z41" s="4"/>
      <c r="AA41" s="4"/>
      <c r="AB41" s="4"/>
      <c r="AC41" s="4"/>
      <c r="AD41" s="15">
        <f t="shared" si="2"/>
        <v>563392.51</v>
      </c>
    </row>
    <row r="42" spans="3:30" s="11" customFormat="1" x14ac:dyDescent="0.25">
      <c r="C42" s="2" t="s">
        <v>28</v>
      </c>
      <c r="D42" s="14">
        <f>128</f>
        <v>128</v>
      </c>
      <c r="E42" s="4"/>
      <c r="F42" s="5"/>
      <c r="G42" s="4">
        <f>754</f>
        <v>754</v>
      </c>
      <c r="H42" s="5"/>
      <c r="I42" s="5"/>
      <c r="J42" s="5"/>
      <c r="K42" s="5"/>
      <c r="L42" s="14"/>
      <c r="M42" s="5"/>
      <c r="N42" s="4"/>
      <c r="O42" s="14"/>
      <c r="P42" s="5"/>
      <c r="Q42" s="4"/>
      <c r="R42" s="5"/>
      <c r="S42" s="5"/>
      <c r="T42" s="5"/>
      <c r="U42" s="4"/>
      <c r="V42" s="5"/>
      <c r="W42" s="4"/>
      <c r="X42" s="5"/>
      <c r="Y42" s="5"/>
      <c r="Z42" s="5"/>
      <c r="AA42" s="4"/>
      <c r="AB42" s="4"/>
      <c r="AC42" s="4"/>
      <c r="AD42" s="15">
        <f>SUM(D42:AC42)</f>
        <v>882</v>
      </c>
    </row>
    <row r="43" spans="3:30" s="11" customFormat="1" x14ac:dyDescent="0.25">
      <c r="C43" s="2" t="s">
        <v>29</v>
      </c>
      <c r="D43" s="14">
        <f>68359.92+215572.84+12508.5+230034.31+64390.64+12508.5</f>
        <v>603374.71000000008</v>
      </c>
      <c r="E43" s="4"/>
      <c r="F43" s="5"/>
      <c r="G43" s="4">
        <f>435.3+435.3+603.2+754</f>
        <v>2227.8000000000002</v>
      </c>
      <c r="H43" s="4"/>
      <c r="I43" s="5"/>
      <c r="J43" s="5"/>
      <c r="K43" s="4"/>
      <c r="L43" s="14">
        <f>172+1106+7198+1278.76+146+5249+6595.87+1278.6+511+1716+8484+18385.5</f>
        <v>52120.729999999996</v>
      </c>
      <c r="M43" s="4"/>
      <c r="N43" s="5"/>
      <c r="O43" s="4"/>
      <c r="P43" s="4">
        <f>44+754+2700+104.13+99.99+66584</f>
        <v>70286.12</v>
      </c>
      <c r="Q43" s="14">
        <f>300+3925.9+172+2783.11+2641.82+300+1874.03</f>
        <v>11996.86</v>
      </c>
      <c r="R43" s="4"/>
      <c r="S43" s="4"/>
      <c r="T43" s="5"/>
      <c r="U43" s="5"/>
      <c r="V43" s="5">
        <f>366</f>
        <v>366</v>
      </c>
      <c r="W43" s="4">
        <f>1499.9</f>
        <v>1499.9</v>
      </c>
      <c r="X43" s="5"/>
      <c r="Y43" s="5"/>
      <c r="Z43" s="4"/>
      <c r="AA43" s="5"/>
      <c r="AB43" s="5"/>
      <c r="AC43" s="5"/>
      <c r="AD43" s="15">
        <f t="shared" si="2"/>
        <v>741872.12000000011</v>
      </c>
    </row>
    <row r="44" spans="3:30" s="11" customFormat="1" x14ac:dyDescent="0.25">
      <c r="C44" s="2" t="s">
        <v>30</v>
      </c>
      <c r="D44" s="14">
        <f>81701.39</f>
        <v>81701.39</v>
      </c>
      <c r="E44" s="4"/>
      <c r="F44" s="5">
        <f>560</f>
        <v>560</v>
      </c>
      <c r="G44" s="4">
        <f>754+603.2</f>
        <v>1357.2</v>
      </c>
      <c r="H44" s="4"/>
      <c r="I44" s="5"/>
      <c r="J44" s="4"/>
      <c r="K44" s="5"/>
      <c r="L44" s="14">
        <f>4205.8+408+3044.28+1250+1250+1250+1250+1250+1250+9581.61+5163+2336+1213+3740+1840.03+146+1840+762+656+5593.71</f>
        <v>48029.43</v>
      </c>
      <c r="M44" s="5"/>
      <c r="N44" s="5">
        <f>93372</f>
        <v>93372</v>
      </c>
      <c r="O44" s="14"/>
      <c r="P44" s="4">
        <f>462+113.8+2189.9+5900+114.99+46.5</f>
        <v>8827.19</v>
      </c>
      <c r="Q44" s="14">
        <f>638.19+1212.28+500+300+3886.44</f>
        <v>6536.91</v>
      </c>
      <c r="R44" s="4"/>
      <c r="S44" s="5"/>
      <c r="T44" s="5"/>
      <c r="U44" s="4"/>
      <c r="V44" s="5">
        <f>250.9</f>
        <v>250.9</v>
      </c>
      <c r="W44" s="4">
        <f>175.7</f>
        <v>175.7</v>
      </c>
      <c r="X44" s="4"/>
      <c r="Y44" s="5"/>
      <c r="Z44" s="5"/>
      <c r="AA44" s="4">
        <f>23107.2+28884+5776.8</f>
        <v>57768</v>
      </c>
      <c r="AB44" s="4"/>
      <c r="AC44" s="5"/>
      <c r="AD44" s="15">
        <f t="shared" si="2"/>
        <v>298578.71999999997</v>
      </c>
    </row>
    <row r="45" spans="3:30" s="11" customFormat="1" x14ac:dyDescent="0.25">
      <c r="C45" s="2" t="s">
        <v>31</v>
      </c>
      <c r="D45" s="14">
        <f>301441.53+12508.5+285815.76+12508.5</f>
        <v>612274.29</v>
      </c>
      <c r="E45" s="4"/>
      <c r="F45" s="5"/>
      <c r="G45" s="4">
        <f>435.3+435.3+754+603.2</f>
        <v>2227.8000000000002</v>
      </c>
      <c r="H45" s="4">
        <f>42929</f>
        <v>42929</v>
      </c>
      <c r="I45" s="5"/>
      <c r="J45" s="5"/>
      <c r="K45" s="4"/>
      <c r="L45" s="14">
        <f>146+7850+1047+2263+549.5+862+2000</f>
        <v>14717.5</v>
      </c>
      <c r="M45" s="14"/>
      <c r="N45" s="5"/>
      <c r="O45" s="4"/>
      <c r="P45" s="5">
        <f>20</f>
        <v>20</v>
      </c>
      <c r="Q45" s="14"/>
      <c r="R45" s="5"/>
      <c r="S45" s="5"/>
      <c r="T45" s="5"/>
      <c r="U45" s="4">
        <f>11020+1392</f>
        <v>12412</v>
      </c>
      <c r="V45" s="5">
        <f>449+1728.4</f>
        <v>2177.4</v>
      </c>
      <c r="W45" s="4"/>
      <c r="X45" s="4"/>
      <c r="Y45" s="5"/>
      <c r="Z45" s="4"/>
      <c r="AA45" s="5"/>
      <c r="AB45" s="5"/>
      <c r="AC45" s="5"/>
      <c r="AD45" s="15">
        <f t="shared" si="2"/>
        <v>686757.99000000011</v>
      </c>
    </row>
    <row r="46" spans="3:30" s="11" customFormat="1" x14ac:dyDescent="0.25">
      <c r="C46" s="2" t="s">
        <v>32</v>
      </c>
      <c r="D46" s="14"/>
      <c r="E46" s="5"/>
      <c r="F46" s="5">
        <f>758</f>
        <v>758</v>
      </c>
      <c r="G46" s="4">
        <f>754</f>
        <v>754</v>
      </c>
      <c r="H46" s="4">
        <f>40136</f>
        <v>40136</v>
      </c>
      <c r="I46" s="5"/>
      <c r="J46" s="4"/>
      <c r="K46" s="4">
        <f>31668+31668</f>
        <v>63336</v>
      </c>
      <c r="L46" s="14">
        <f>599+190</f>
        <v>789</v>
      </c>
      <c r="M46" s="5"/>
      <c r="N46" s="4">
        <f>88805</f>
        <v>88805</v>
      </c>
      <c r="O46" s="14">
        <f>82056.23</f>
        <v>82056.23</v>
      </c>
      <c r="P46" s="5">
        <f>3450</f>
        <v>3450</v>
      </c>
      <c r="Q46" s="14">
        <f>200</f>
        <v>200</v>
      </c>
      <c r="R46" s="5"/>
      <c r="S46" s="5"/>
      <c r="T46" s="4">
        <f>4119.16</f>
        <v>4119.16</v>
      </c>
      <c r="U46" s="4"/>
      <c r="V46" s="5">
        <f>149.6</f>
        <v>149.6</v>
      </c>
      <c r="W46" s="4">
        <f>1032+1182.5+640+1257.01</f>
        <v>4111.51</v>
      </c>
      <c r="X46" s="4"/>
      <c r="Y46" s="5"/>
      <c r="Z46" s="5"/>
      <c r="AA46" s="4"/>
      <c r="AB46" s="4"/>
      <c r="AC46" s="5"/>
      <c r="AD46" s="15">
        <f t="shared" si="2"/>
        <v>288664.49999999994</v>
      </c>
    </row>
    <row r="47" spans="3:30" s="11" customFormat="1" x14ac:dyDescent="0.25">
      <c r="C47" s="2" t="s">
        <v>33</v>
      </c>
      <c r="D47" s="14">
        <f>12508.5+294325.76+284164.47+12508.5</f>
        <v>603507.23</v>
      </c>
      <c r="E47" s="14"/>
      <c r="F47" s="18"/>
      <c r="G47" s="14">
        <f>435.3+435.3+754</f>
        <v>1624.6</v>
      </c>
      <c r="H47" s="14"/>
      <c r="I47" s="18"/>
      <c r="J47" s="18"/>
      <c r="K47" s="14"/>
      <c r="L47" s="14">
        <f>797+146+543+1623+11187.58+4217+3269+600+9183.7+989.44+4429</f>
        <v>36984.720000000001</v>
      </c>
      <c r="M47" s="14"/>
      <c r="N47" s="18"/>
      <c r="O47" s="14">
        <f>283992.45</f>
        <v>283992.45</v>
      </c>
      <c r="P47" s="18">
        <f>5280.6+354+2784+1040+1200</f>
        <v>10658.6</v>
      </c>
      <c r="Q47" s="14">
        <f>200+1241.15</f>
        <v>1441.15</v>
      </c>
      <c r="R47" s="18"/>
      <c r="S47" s="18"/>
      <c r="T47" s="18"/>
      <c r="U47" s="4"/>
      <c r="V47" s="5">
        <f>715</f>
        <v>715</v>
      </c>
      <c r="W47" s="5">
        <f>1503.84+457.6+1676+314+66</f>
        <v>4017.44</v>
      </c>
      <c r="X47" s="4">
        <f>2735.7</f>
        <v>2735.7</v>
      </c>
      <c r="Y47" s="5"/>
      <c r="Z47" s="4"/>
      <c r="AA47" s="5"/>
      <c r="AB47" s="5"/>
      <c r="AC47" s="5">
        <f>1856</f>
        <v>1856</v>
      </c>
      <c r="AD47" s="15">
        <f>SUM(D47:AC47)</f>
        <v>947532.8899999999</v>
      </c>
    </row>
    <row r="48" spans="3:30" s="11" customFormat="1" x14ac:dyDescent="0.25">
      <c r="C48" s="2" t="s">
        <v>34</v>
      </c>
      <c r="D48" s="14">
        <f>2121.69</f>
        <v>2121.69</v>
      </c>
      <c r="E48" s="4"/>
      <c r="F48" s="5">
        <f>522+760</f>
        <v>1282</v>
      </c>
      <c r="G48" s="4">
        <f>754</f>
        <v>754</v>
      </c>
      <c r="H48" s="4">
        <f>45614</f>
        <v>45614</v>
      </c>
      <c r="I48" s="5"/>
      <c r="J48" s="4">
        <f>18513.6+18513.6</f>
        <v>37027.199999999997</v>
      </c>
      <c r="K48" s="5">
        <f>31668+31668</f>
        <v>63336</v>
      </c>
      <c r="L48" s="14">
        <f>550+3712+219</f>
        <v>4481</v>
      </c>
      <c r="M48" s="5"/>
      <c r="N48" s="4">
        <f>86597</f>
        <v>86597</v>
      </c>
      <c r="O48" s="4">
        <f>79748.12</f>
        <v>79748.12</v>
      </c>
      <c r="P48" s="4">
        <f>3964.03+140.7+448+638+3168.98+31</f>
        <v>8390.7100000000009</v>
      </c>
      <c r="Q48" s="14">
        <f>1138.83+850.2+200</f>
        <v>2189.0299999999997</v>
      </c>
      <c r="R48" s="5"/>
      <c r="S48" s="5"/>
      <c r="T48" s="5"/>
      <c r="U48" s="4"/>
      <c r="V48" s="5">
        <f>3707.36</f>
        <v>3707.36</v>
      </c>
      <c r="W48" s="5">
        <f>1100</f>
        <v>1100</v>
      </c>
      <c r="X48" s="4">
        <f>554.9+3758.08+600+1008.6</f>
        <v>5921.58</v>
      </c>
      <c r="Y48" s="5"/>
      <c r="Z48" s="5"/>
      <c r="AA48" s="5"/>
      <c r="AB48" s="5"/>
      <c r="AC48" s="5">
        <f>16240+6960</f>
        <v>23200</v>
      </c>
      <c r="AD48" s="15">
        <f>SUM(D48:AC48)</f>
        <v>365469.69000000006</v>
      </c>
    </row>
    <row r="49" spans="3:32" s="11" customFormat="1" x14ac:dyDescent="0.25">
      <c r="C49" s="2" t="s">
        <v>35</v>
      </c>
      <c r="D49" s="14">
        <f>12508.5+284533.72+12508.5+280373.08</f>
        <v>589923.80000000005</v>
      </c>
      <c r="E49" s="4"/>
      <c r="F49" s="5"/>
      <c r="G49" s="4">
        <f>435.3+435.3+754</f>
        <v>1624.6</v>
      </c>
      <c r="H49" s="5">
        <f>40950</f>
        <v>40950</v>
      </c>
      <c r="I49" s="5"/>
      <c r="J49" s="5"/>
      <c r="K49" s="4"/>
      <c r="L49" s="14">
        <f>15573.01+1550+753+5630.09+4818+2052.5+1095</f>
        <v>31471.600000000002</v>
      </c>
      <c r="M49" s="4"/>
      <c r="N49" s="5"/>
      <c r="O49" s="5"/>
      <c r="P49" s="4">
        <f>1039+369.52+344.68+175+1450+9744</f>
        <v>13122.2</v>
      </c>
      <c r="Q49" s="14">
        <f>200+20000+1199.9+900+1019.94</f>
        <v>23319.84</v>
      </c>
      <c r="R49" s="5"/>
      <c r="S49" s="5"/>
      <c r="T49" s="5">
        <f>6048.24</f>
        <v>6048.24</v>
      </c>
      <c r="U49" s="4">
        <f>166+994.98+2125.12+710+5060</f>
        <v>9056.1</v>
      </c>
      <c r="V49" s="5">
        <f>1180</f>
        <v>1180</v>
      </c>
      <c r="W49" s="5">
        <f>542+170+2355</f>
        <v>3067</v>
      </c>
      <c r="X49" s="4">
        <f>3939.19</f>
        <v>3939.19</v>
      </c>
      <c r="Y49" s="5"/>
      <c r="Z49" s="4"/>
      <c r="AA49" s="5"/>
      <c r="AB49" s="5"/>
      <c r="AC49" s="4"/>
      <c r="AD49" s="15">
        <f>SUM(D49:AC49)</f>
        <v>723702.56999999983</v>
      </c>
    </row>
    <row r="50" spans="3:32" s="11" customFormat="1" x14ac:dyDescent="0.25">
      <c r="C50" s="2" t="s">
        <v>36</v>
      </c>
      <c r="D50" s="14">
        <f>1119227.9+280931.86+12508.5</f>
        <v>1412668.2599999998</v>
      </c>
      <c r="E50" s="4"/>
      <c r="F50" s="5"/>
      <c r="G50" s="4">
        <f>435.3+754</f>
        <v>1189.3</v>
      </c>
      <c r="H50" s="4"/>
      <c r="I50" s="5"/>
      <c r="J50" s="4">
        <f>18513.6</f>
        <v>18513.599999999999</v>
      </c>
      <c r="K50" s="5"/>
      <c r="L50" s="5"/>
      <c r="M50" s="4"/>
      <c r="N50" s="5">
        <f>84679</f>
        <v>84679</v>
      </c>
      <c r="O50" s="4">
        <f>78412.38</f>
        <v>78412.38</v>
      </c>
      <c r="P50" s="4">
        <f>4350+702</f>
        <v>5052</v>
      </c>
      <c r="Q50" s="14">
        <f>2000</f>
        <v>2000</v>
      </c>
      <c r="R50" s="5"/>
      <c r="S50" s="5"/>
      <c r="T50" s="5"/>
      <c r="U50" s="5">
        <f>4520</f>
        <v>4520</v>
      </c>
      <c r="V50" s="5"/>
      <c r="W50" s="5"/>
      <c r="X50" s="4"/>
      <c r="Y50" s="5"/>
      <c r="Z50" s="5"/>
      <c r="AA50" s="4"/>
      <c r="AB50" s="4"/>
      <c r="AC50" s="4"/>
      <c r="AD50" s="15">
        <f>SUM(D50:AC50)</f>
        <v>1607034.54</v>
      </c>
    </row>
    <row r="51" spans="3:32" s="11" customFormat="1" x14ac:dyDescent="0.25">
      <c r="C51" s="2" t="s">
        <v>37</v>
      </c>
      <c r="D51" s="6">
        <f>SUM(D39:D50)</f>
        <v>5383709.1100000003</v>
      </c>
      <c r="E51" s="6">
        <f t="shared" ref="E51:AC51" si="3">SUM(E39:E50)</f>
        <v>2688</v>
      </c>
      <c r="F51" s="6">
        <f t="shared" si="3"/>
        <v>3160</v>
      </c>
      <c r="G51" s="6">
        <f>SUM(G39:G50)</f>
        <v>16169.7</v>
      </c>
      <c r="H51" s="15">
        <f t="shared" si="3"/>
        <v>169629</v>
      </c>
      <c r="I51" s="15">
        <f t="shared" si="3"/>
        <v>0</v>
      </c>
      <c r="J51" s="15">
        <f t="shared" si="3"/>
        <v>55540.799999999996</v>
      </c>
      <c r="K51" s="15">
        <f t="shared" si="3"/>
        <v>126672</v>
      </c>
      <c r="L51" s="15">
        <f t="shared" si="3"/>
        <v>188593.98</v>
      </c>
      <c r="M51" s="15">
        <f t="shared" si="3"/>
        <v>0</v>
      </c>
      <c r="N51" s="6">
        <f t="shared" si="3"/>
        <v>353453</v>
      </c>
      <c r="O51" s="6">
        <f t="shared" si="3"/>
        <v>783838.94</v>
      </c>
      <c r="P51" s="15">
        <f t="shared" si="3"/>
        <v>119806.82</v>
      </c>
      <c r="Q51" s="15">
        <f t="shared" si="3"/>
        <v>47683.79</v>
      </c>
      <c r="R51" s="15">
        <f t="shared" si="3"/>
        <v>0</v>
      </c>
      <c r="S51" s="15">
        <f t="shared" si="3"/>
        <v>0</v>
      </c>
      <c r="T51" s="15">
        <f t="shared" si="3"/>
        <v>10167.4</v>
      </c>
      <c r="U51" s="15">
        <f t="shared" si="3"/>
        <v>25988.1</v>
      </c>
      <c r="V51" s="6">
        <f t="shared" si="3"/>
        <v>8546.26</v>
      </c>
      <c r="W51" s="6">
        <f t="shared" si="3"/>
        <v>13971.550000000001</v>
      </c>
      <c r="X51" s="6">
        <f t="shared" si="3"/>
        <v>12596.47</v>
      </c>
      <c r="Y51" s="6">
        <f t="shared" si="3"/>
        <v>0</v>
      </c>
      <c r="Z51" s="6">
        <f>SUM(Z39:Z50)</f>
        <v>0</v>
      </c>
      <c r="AA51" s="15">
        <f t="shared" si="3"/>
        <v>57768</v>
      </c>
      <c r="AB51" s="15"/>
      <c r="AC51" s="6">
        <f t="shared" si="3"/>
        <v>25056</v>
      </c>
      <c r="AD51" s="6">
        <f>SUM(AD39:AD50)</f>
        <v>7405038.9200000009</v>
      </c>
    </row>
    <row r="52" spans="3:32" s="11" customFormat="1" x14ac:dyDescent="0.25">
      <c r="C52"/>
      <c r="D52"/>
      <c r="E52"/>
      <c r="F52"/>
      <c r="G52"/>
      <c r="H52" s="16"/>
      <c r="I52" s="16"/>
      <c r="J52" s="16"/>
      <c r="K52" s="16"/>
      <c r="L52" s="16"/>
      <c r="M52" s="16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 s="17"/>
    </row>
    <row r="53" spans="3:32" s="11" customFormat="1" x14ac:dyDescent="0.2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 t="s">
        <v>49</v>
      </c>
      <c r="AD53" s="9">
        <v>7402536.2800000003</v>
      </c>
    </row>
    <row r="54" spans="3:32" s="11" customFormat="1" x14ac:dyDescent="0.2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 t="s">
        <v>57</v>
      </c>
      <c r="AD54" s="21">
        <v>2502.64</v>
      </c>
    </row>
    <row r="55" spans="3:32" s="11" customFormat="1" x14ac:dyDescent="0.2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 s="17">
        <f>SUM(AD53:AD54)</f>
        <v>7405038.9199999999</v>
      </c>
    </row>
    <row r="56" spans="3:32" s="11" customFormat="1" x14ac:dyDescent="0.2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 t="s">
        <v>55</v>
      </c>
      <c r="AD56" s="6">
        <v>0</v>
      </c>
    </row>
    <row r="57" spans="3:32" x14ac:dyDescent="0.25">
      <c r="AD57" s="9"/>
      <c r="AF57" t="s">
        <v>58</v>
      </c>
    </row>
    <row r="58" spans="3:32" x14ac:dyDescent="0.25">
      <c r="AD58" s="9">
        <f>AD51-AD53-AD54</f>
        <v>5.9617377701215446E-10</v>
      </c>
    </row>
    <row r="59" spans="3:32" x14ac:dyDescent="0.25">
      <c r="AD59" s="19"/>
    </row>
  </sheetData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2"/>
  <sheetViews>
    <sheetView tabSelected="1" workbookViewId="0">
      <selection activeCell="L24" sqref="L24"/>
    </sheetView>
  </sheetViews>
  <sheetFormatPr baseColWidth="10" defaultRowHeight="15" x14ac:dyDescent="0.25"/>
  <cols>
    <col min="2" max="2" width="53.140625" customWidth="1"/>
    <col min="3" max="3" width="14.140625" bestFit="1" customWidth="1"/>
    <col min="5" max="5" width="54" customWidth="1"/>
    <col min="6" max="6" width="17.5703125" customWidth="1"/>
  </cols>
  <sheetData>
    <row r="4" spans="2:6" ht="21" x14ac:dyDescent="0.35">
      <c r="E4" s="26" t="s">
        <v>86</v>
      </c>
    </row>
    <row r="5" spans="2:6" ht="21" x14ac:dyDescent="0.35">
      <c r="E5" s="26" t="s">
        <v>46</v>
      </c>
    </row>
    <row r="9" spans="2:6" ht="18.75" x14ac:dyDescent="0.3">
      <c r="B9" s="27" t="s">
        <v>1</v>
      </c>
      <c r="C9" s="28"/>
      <c r="D9" s="29"/>
      <c r="E9" s="27" t="s">
        <v>41</v>
      </c>
      <c r="F9" s="28"/>
    </row>
    <row r="10" spans="2:6" x14ac:dyDescent="0.25">
      <c r="B10" s="5" t="s">
        <v>60</v>
      </c>
      <c r="C10" s="4">
        <v>3463399.39</v>
      </c>
      <c r="E10" s="5" t="s">
        <v>60</v>
      </c>
      <c r="F10" s="4">
        <v>5383709.1100000003</v>
      </c>
    </row>
    <row r="11" spans="2:6" x14ac:dyDescent="0.25">
      <c r="B11" s="5" t="s">
        <v>61</v>
      </c>
      <c r="C11" s="4">
        <v>26886</v>
      </c>
      <c r="E11" s="5" t="s">
        <v>61</v>
      </c>
      <c r="F11" s="4">
        <v>2688</v>
      </c>
    </row>
    <row r="12" spans="2:6" x14ac:dyDescent="0.25">
      <c r="B12" s="5" t="s">
        <v>62</v>
      </c>
      <c r="C12" s="4">
        <v>2239</v>
      </c>
      <c r="E12" s="5" t="s">
        <v>62</v>
      </c>
      <c r="F12" s="4">
        <v>3160</v>
      </c>
    </row>
    <row r="13" spans="2:6" x14ac:dyDescent="0.25">
      <c r="B13" s="5" t="s">
        <v>6</v>
      </c>
      <c r="C13" s="4">
        <v>6485.08</v>
      </c>
      <c r="E13" s="5" t="s">
        <v>6</v>
      </c>
      <c r="F13" s="4">
        <v>16169.7</v>
      </c>
    </row>
    <row r="14" spans="2:6" x14ac:dyDescent="0.25">
      <c r="B14" s="5" t="s">
        <v>63</v>
      </c>
      <c r="C14" s="4">
        <v>114806</v>
      </c>
      <c r="E14" s="5" t="s">
        <v>63</v>
      </c>
      <c r="F14" s="4">
        <v>169629</v>
      </c>
    </row>
    <row r="15" spans="2:6" x14ac:dyDescent="0.25">
      <c r="B15" s="5" t="s">
        <v>64</v>
      </c>
      <c r="C15" s="4">
        <v>65154.86</v>
      </c>
      <c r="E15" s="5" t="s">
        <v>64</v>
      </c>
      <c r="F15" s="4">
        <v>0</v>
      </c>
    </row>
    <row r="16" spans="2:6" x14ac:dyDescent="0.25">
      <c r="B16" s="5" t="s">
        <v>65</v>
      </c>
      <c r="C16" s="4">
        <v>166622.39999999999</v>
      </c>
      <c r="E16" s="5" t="s">
        <v>65</v>
      </c>
      <c r="F16" s="4">
        <v>55540.800000000003</v>
      </c>
    </row>
    <row r="17" spans="2:6" x14ac:dyDescent="0.25">
      <c r="B17" s="5" t="s">
        <v>66</v>
      </c>
      <c r="C17" s="4">
        <v>253344</v>
      </c>
      <c r="E17" s="5" t="s">
        <v>66</v>
      </c>
      <c r="F17" s="4">
        <v>126672</v>
      </c>
    </row>
    <row r="18" spans="2:6" x14ac:dyDescent="0.25">
      <c r="B18" s="5" t="s">
        <v>67</v>
      </c>
      <c r="C18" s="4">
        <v>151539.10999999999</v>
      </c>
      <c r="E18" s="5" t="s">
        <v>67</v>
      </c>
      <c r="F18" s="4">
        <v>188593.98</v>
      </c>
    </row>
    <row r="19" spans="2:6" x14ac:dyDescent="0.25">
      <c r="B19" s="5" t="s">
        <v>12</v>
      </c>
      <c r="C19" s="4">
        <v>14496.8</v>
      </c>
      <c r="E19" s="5" t="s">
        <v>12</v>
      </c>
      <c r="F19" s="4">
        <v>0</v>
      </c>
    </row>
    <row r="20" spans="2:6" x14ac:dyDescent="0.25">
      <c r="B20" s="5" t="s">
        <v>68</v>
      </c>
      <c r="C20" s="4">
        <v>456257</v>
      </c>
      <c r="E20" s="5" t="s">
        <v>68</v>
      </c>
      <c r="F20" s="4">
        <v>353453</v>
      </c>
    </row>
    <row r="21" spans="2:6" x14ac:dyDescent="0.25">
      <c r="B21" s="5" t="s">
        <v>14</v>
      </c>
      <c r="C21" s="4">
        <v>918654.67</v>
      </c>
      <c r="E21" s="5" t="s">
        <v>14</v>
      </c>
      <c r="F21" s="4">
        <v>783838.94</v>
      </c>
    </row>
    <row r="22" spans="2:6" x14ac:dyDescent="0.25">
      <c r="B22" s="5" t="s">
        <v>15</v>
      </c>
      <c r="C22" s="4">
        <v>369720.22</v>
      </c>
      <c r="E22" s="5" t="s">
        <v>15</v>
      </c>
      <c r="F22" s="4">
        <v>119806.82</v>
      </c>
    </row>
    <row r="23" spans="2:6" x14ac:dyDescent="0.25">
      <c r="B23" s="5" t="s">
        <v>69</v>
      </c>
      <c r="C23" s="4">
        <v>186642.97</v>
      </c>
      <c r="E23" s="5" t="s">
        <v>69</v>
      </c>
      <c r="F23" s="4">
        <v>47683.79</v>
      </c>
    </row>
    <row r="24" spans="2:6" x14ac:dyDescent="0.25">
      <c r="B24" s="5" t="s">
        <v>70</v>
      </c>
      <c r="C24" s="4">
        <v>27654.97</v>
      </c>
      <c r="E24" s="5" t="s">
        <v>70</v>
      </c>
      <c r="F24" s="4">
        <v>0</v>
      </c>
    </row>
    <row r="25" spans="2:6" x14ac:dyDescent="0.25">
      <c r="B25" s="5" t="s">
        <v>50</v>
      </c>
      <c r="C25" s="4">
        <v>39127.660000000003</v>
      </c>
      <c r="E25" s="5" t="s">
        <v>50</v>
      </c>
      <c r="F25" s="4">
        <v>0</v>
      </c>
    </row>
    <row r="26" spans="2:6" x14ac:dyDescent="0.25">
      <c r="B26" s="5" t="s">
        <v>18</v>
      </c>
      <c r="C26" s="4">
        <v>29948.880000000001</v>
      </c>
      <c r="E26" s="5" t="s">
        <v>18</v>
      </c>
      <c r="F26" s="4">
        <v>10167.4</v>
      </c>
    </row>
    <row r="27" spans="2:6" x14ac:dyDescent="0.25">
      <c r="B27" s="5" t="s">
        <v>71</v>
      </c>
      <c r="C27" s="4">
        <v>50005.84</v>
      </c>
      <c r="E27" s="5" t="s">
        <v>71</v>
      </c>
      <c r="F27" s="4">
        <v>25988.1</v>
      </c>
    </row>
    <row r="28" spans="2:6" x14ac:dyDescent="0.25">
      <c r="B28" s="5" t="s">
        <v>51</v>
      </c>
      <c r="C28" s="4">
        <v>101060.99</v>
      </c>
      <c r="E28" s="5" t="s">
        <v>51</v>
      </c>
      <c r="F28" s="4">
        <v>8546.26</v>
      </c>
    </row>
    <row r="29" spans="2:6" x14ac:dyDescent="0.25">
      <c r="B29" s="5" t="s">
        <v>72</v>
      </c>
      <c r="C29" s="4">
        <v>31080.13</v>
      </c>
      <c r="E29" s="5" t="s">
        <v>72</v>
      </c>
      <c r="F29" s="4">
        <v>13971.55</v>
      </c>
    </row>
    <row r="30" spans="2:6" x14ac:dyDescent="0.25">
      <c r="B30" s="5" t="s">
        <v>73</v>
      </c>
      <c r="C30" s="4">
        <v>26018.49</v>
      </c>
      <c r="E30" s="5" t="s">
        <v>73</v>
      </c>
      <c r="F30" s="4">
        <v>12596.47</v>
      </c>
    </row>
    <row r="31" spans="2:6" x14ac:dyDescent="0.25">
      <c r="B31" s="5" t="s">
        <v>23</v>
      </c>
      <c r="C31" s="4">
        <v>48883.28</v>
      </c>
      <c r="E31" s="5" t="s">
        <v>23</v>
      </c>
      <c r="F31" s="4">
        <v>0</v>
      </c>
    </row>
    <row r="32" spans="2:6" x14ac:dyDescent="0.25">
      <c r="B32" s="5" t="s">
        <v>74</v>
      </c>
      <c r="C32" s="4">
        <v>145433</v>
      </c>
      <c r="E32" s="5" t="s">
        <v>74</v>
      </c>
      <c r="F32" s="4">
        <v>0</v>
      </c>
    </row>
    <row r="33" spans="2:6" x14ac:dyDescent="0.25">
      <c r="B33" s="5" t="s">
        <v>75</v>
      </c>
      <c r="C33" s="4">
        <v>0</v>
      </c>
      <c r="E33" s="5" t="s">
        <v>75</v>
      </c>
      <c r="F33" s="4">
        <v>57768</v>
      </c>
    </row>
    <row r="34" spans="2:6" x14ac:dyDescent="0.25">
      <c r="B34" s="5" t="s">
        <v>54</v>
      </c>
      <c r="C34" s="4">
        <v>58909.37</v>
      </c>
      <c r="E34" s="5" t="s">
        <v>54</v>
      </c>
      <c r="F34" s="4">
        <v>0</v>
      </c>
    </row>
    <row r="35" spans="2:6" x14ac:dyDescent="0.25">
      <c r="B35" s="5" t="s">
        <v>44</v>
      </c>
      <c r="C35" s="4"/>
      <c r="E35" s="5" t="s">
        <v>44</v>
      </c>
      <c r="F35" s="4">
        <v>25056</v>
      </c>
    </row>
    <row r="36" spans="2:6" x14ac:dyDescent="0.25">
      <c r="B36" s="5" t="s">
        <v>24</v>
      </c>
      <c r="C36" s="4">
        <f>SUM(C10:C34)</f>
        <v>6754370.1099999994</v>
      </c>
      <c r="E36" s="5" t="s">
        <v>24</v>
      </c>
      <c r="F36" s="4">
        <f>SUM(F10:F35)</f>
        <v>7405038.9200000009</v>
      </c>
    </row>
    <row r="37" spans="2:6" x14ac:dyDescent="0.25">
      <c r="B37" s="11"/>
      <c r="C37" s="13"/>
    </row>
    <row r="39" spans="2:6" x14ac:dyDescent="0.25">
      <c r="B39" t="s">
        <v>47</v>
      </c>
      <c r="C39" s="23">
        <v>7402536.2699999996</v>
      </c>
      <c r="E39" t="s">
        <v>80</v>
      </c>
      <c r="F39" s="9">
        <v>7402536.2800000003</v>
      </c>
    </row>
    <row r="40" spans="2:6" x14ac:dyDescent="0.25">
      <c r="B40" t="s">
        <v>76</v>
      </c>
      <c r="C40" s="24">
        <v>3.99</v>
      </c>
      <c r="E40" t="s">
        <v>57</v>
      </c>
      <c r="F40" s="25">
        <v>2502.64</v>
      </c>
    </row>
    <row r="41" spans="2:6" x14ac:dyDescent="0.25">
      <c r="C41" s="23">
        <f>SUM(C39:C40)</f>
        <v>7402540.2599999998</v>
      </c>
      <c r="F41" s="17">
        <f>SUM(F39:F40)</f>
        <v>7405038.9199999999</v>
      </c>
    </row>
    <row r="42" spans="2:6" x14ac:dyDescent="0.25">
      <c r="C42" s="23"/>
    </row>
    <row r="43" spans="2:6" x14ac:dyDescent="0.25">
      <c r="B43" t="s">
        <v>77</v>
      </c>
      <c r="C43" s="9">
        <v>648166.16</v>
      </c>
    </row>
    <row r="44" spans="2:6" x14ac:dyDescent="0.25">
      <c r="B44" t="s">
        <v>76</v>
      </c>
      <c r="C44" s="24">
        <v>3.99</v>
      </c>
    </row>
    <row r="45" spans="2:6" x14ac:dyDescent="0.25">
      <c r="C45" s="9">
        <f>SUM(C43:C44)</f>
        <v>648170.15</v>
      </c>
    </row>
    <row r="46" spans="2:6" x14ac:dyDescent="0.25">
      <c r="C46" s="9"/>
    </row>
    <row r="47" spans="2:6" x14ac:dyDescent="0.25">
      <c r="B47" t="s">
        <v>78</v>
      </c>
      <c r="C47" s="9">
        <v>80367</v>
      </c>
    </row>
    <row r="48" spans="2:6" x14ac:dyDescent="0.25">
      <c r="B48" t="s">
        <v>39</v>
      </c>
      <c r="C48" s="9">
        <v>282089.15000000002</v>
      </c>
    </row>
    <row r="49" spans="2:6" x14ac:dyDescent="0.25">
      <c r="B49" t="s">
        <v>40</v>
      </c>
      <c r="C49" s="9">
        <v>285502</v>
      </c>
    </row>
    <row r="50" spans="2:6" x14ac:dyDescent="0.25">
      <c r="B50" t="s">
        <v>79</v>
      </c>
      <c r="C50" s="9">
        <v>212</v>
      </c>
    </row>
    <row r="52" spans="2:6" x14ac:dyDescent="0.25">
      <c r="B52" s="1" t="s">
        <v>81</v>
      </c>
      <c r="C52" s="9">
        <f>C45-C47-C48-C49-C50</f>
        <v>0</v>
      </c>
      <c r="E52" s="1" t="s">
        <v>81</v>
      </c>
      <c r="F52" s="9">
        <v>0</v>
      </c>
    </row>
  </sheetData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"/>
  <sheetViews>
    <sheetView workbookViewId="0">
      <selection activeCell="G9" sqref="G9"/>
    </sheetView>
  </sheetViews>
  <sheetFormatPr baseColWidth="10" defaultRowHeight="15" x14ac:dyDescent="0.25"/>
  <cols>
    <col min="3" max="3" width="17.140625" customWidth="1"/>
    <col min="4" max="4" width="32.28515625" customWidth="1"/>
    <col min="5" max="5" width="31.28515625" customWidth="1"/>
    <col min="6" max="6" width="23.140625" customWidth="1"/>
    <col min="7" max="7" width="16.42578125" customWidth="1"/>
    <col min="9" max="9" width="18.5703125" customWidth="1"/>
    <col min="10" max="10" width="23.7109375" customWidth="1"/>
    <col min="11" max="11" width="22.5703125" customWidth="1"/>
    <col min="12" max="12" width="18" customWidth="1"/>
  </cols>
  <sheetData>
    <row r="3" spans="3:12" ht="21" x14ac:dyDescent="0.35">
      <c r="E3" s="26" t="s">
        <v>82</v>
      </c>
    </row>
    <row r="4" spans="3:12" ht="21" x14ac:dyDescent="0.35">
      <c r="E4" s="26" t="s">
        <v>46</v>
      </c>
    </row>
    <row r="8" spans="3:12" ht="21" x14ac:dyDescent="0.35">
      <c r="C8" s="30" t="s">
        <v>2</v>
      </c>
      <c r="D8" s="30" t="s">
        <v>83</v>
      </c>
      <c r="E8" s="30" t="s">
        <v>41</v>
      </c>
      <c r="F8" s="30" t="s">
        <v>84</v>
      </c>
      <c r="I8" s="10"/>
      <c r="J8" s="10"/>
      <c r="K8" s="10"/>
      <c r="L8" s="10"/>
    </row>
    <row r="9" spans="3:12" x14ac:dyDescent="0.25">
      <c r="C9" s="2" t="s">
        <v>25</v>
      </c>
      <c r="D9" s="4"/>
      <c r="E9" s="4">
        <v>562911</v>
      </c>
      <c r="F9" s="4">
        <f>D9+E9</f>
        <v>562911</v>
      </c>
      <c r="I9" s="10"/>
      <c r="J9" s="13"/>
      <c r="K9" s="13"/>
      <c r="L9" s="13"/>
    </row>
    <row r="10" spans="3:12" x14ac:dyDescent="0.25">
      <c r="C10" s="2" t="s">
        <v>26</v>
      </c>
      <c r="D10" s="4">
        <v>1071553</v>
      </c>
      <c r="E10" s="4">
        <v>462651</v>
      </c>
      <c r="F10" s="4">
        <f t="shared" ref="F10:F21" si="0">D10+E10</f>
        <v>1534204</v>
      </c>
      <c r="I10" s="10"/>
      <c r="J10" s="13"/>
      <c r="K10" s="13"/>
      <c r="L10" s="13"/>
    </row>
    <row r="11" spans="3:12" x14ac:dyDescent="0.25">
      <c r="C11" s="2" t="s">
        <v>27</v>
      </c>
      <c r="D11" s="4">
        <v>547099</v>
      </c>
      <c r="E11" s="4">
        <v>485976</v>
      </c>
      <c r="F11" s="4">
        <f t="shared" si="0"/>
        <v>1033075</v>
      </c>
      <c r="I11" s="10"/>
      <c r="J11" s="13"/>
      <c r="K11" s="13"/>
      <c r="L11" s="13"/>
    </row>
    <row r="12" spans="3:12" x14ac:dyDescent="0.25">
      <c r="C12" s="2" t="s">
        <v>28</v>
      </c>
      <c r="D12" s="4">
        <v>547099</v>
      </c>
      <c r="E12" s="4">
        <v>641696</v>
      </c>
      <c r="F12" s="4">
        <f t="shared" si="0"/>
        <v>1188795</v>
      </c>
      <c r="I12" s="10"/>
      <c r="J12" s="13"/>
      <c r="K12" s="13"/>
      <c r="L12" s="13"/>
    </row>
    <row r="13" spans="3:12" x14ac:dyDescent="0.25">
      <c r="C13" s="2" t="s">
        <v>29</v>
      </c>
      <c r="D13" s="4">
        <v>547099</v>
      </c>
      <c r="E13" s="4">
        <v>385448</v>
      </c>
      <c r="F13" s="4">
        <f t="shared" si="0"/>
        <v>932547</v>
      </c>
      <c r="I13" s="10"/>
      <c r="J13" s="13"/>
      <c r="K13" s="13"/>
      <c r="L13" s="13"/>
    </row>
    <row r="14" spans="3:12" x14ac:dyDescent="0.25">
      <c r="C14" s="2" t="s">
        <v>30</v>
      </c>
      <c r="D14" s="4">
        <v>547099</v>
      </c>
      <c r="E14" s="4">
        <v>502558</v>
      </c>
      <c r="F14" s="4">
        <f t="shared" si="0"/>
        <v>1049657</v>
      </c>
      <c r="I14" s="10"/>
      <c r="J14" s="13"/>
      <c r="K14" s="13"/>
      <c r="L14" s="13"/>
    </row>
    <row r="15" spans="3:12" x14ac:dyDescent="0.25">
      <c r="C15" s="2" t="s">
        <v>31</v>
      </c>
      <c r="D15" s="4">
        <v>620805</v>
      </c>
      <c r="E15" s="4">
        <v>534058</v>
      </c>
      <c r="F15" s="4">
        <f t="shared" si="0"/>
        <v>1154863</v>
      </c>
      <c r="I15" s="10"/>
      <c r="J15" s="13"/>
      <c r="K15" s="13"/>
      <c r="L15" s="13"/>
    </row>
    <row r="16" spans="3:12" x14ac:dyDescent="0.25">
      <c r="C16" s="2" t="s">
        <v>32</v>
      </c>
      <c r="D16" s="4">
        <v>620805</v>
      </c>
      <c r="E16" s="4">
        <v>385448</v>
      </c>
      <c r="F16" s="4">
        <f t="shared" si="0"/>
        <v>1006253</v>
      </c>
      <c r="I16" s="10"/>
      <c r="J16" s="13"/>
      <c r="K16" s="13"/>
      <c r="L16" s="13"/>
    </row>
    <row r="17" spans="3:12" x14ac:dyDescent="0.25">
      <c r="C17" s="2" t="s">
        <v>33</v>
      </c>
      <c r="D17" s="4">
        <v>620805</v>
      </c>
      <c r="E17" s="4">
        <v>728278</v>
      </c>
      <c r="F17" s="4">
        <f t="shared" si="0"/>
        <v>1349083</v>
      </c>
      <c r="I17" s="10"/>
      <c r="J17" s="13"/>
      <c r="K17" s="13"/>
      <c r="L17" s="13"/>
    </row>
    <row r="18" spans="3:12" x14ac:dyDescent="0.25">
      <c r="C18" s="2" t="s">
        <v>34</v>
      </c>
      <c r="D18" s="4">
        <v>620805</v>
      </c>
      <c r="E18" s="4">
        <v>501058</v>
      </c>
      <c r="F18" s="4">
        <f t="shared" si="0"/>
        <v>1121863</v>
      </c>
      <c r="I18" s="10"/>
      <c r="J18" s="13"/>
      <c r="K18" s="13"/>
      <c r="L18" s="13"/>
    </row>
    <row r="19" spans="3:12" x14ac:dyDescent="0.25">
      <c r="C19" s="2" t="s">
        <v>35</v>
      </c>
      <c r="D19" s="4">
        <f>620805+417760.27</f>
        <v>1038565.27</v>
      </c>
      <c r="E19" s="4">
        <v>385448</v>
      </c>
      <c r="F19" s="4">
        <f t="shared" si="0"/>
        <v>1424013.27</v>
      </c>
      <c r="I19" s="10"/>
      <c r="J19" s="13"/>
      <c r="K19" s="13"/>
      <c r="L19" s="13"/>
    </row>
    <row r="20" spans="3:12" x14ac:dyDescent="0.25">
      <c r="C20" s="2" t="s">
        <v>36</v>
      </c>
      <c r="D20" s="4">
        <v>620802</v>
      </c>
      <c r="E20" s="4">
        <v>1827006.28</v>
      </c>
      <c r="F20" s="4">
        <f t="shared" si="0"/>
        <v>2447808.2800000003</v>
      </c>
      <c r="I20" s="10"/>
      <c r="J20" s="13"/>
      <c r="K20" s="13"/>
      <c r="L20" s="13"/>
    </row>
    <row r="21" spans="3:12" x14ac:dyDescent="0.25">
      <c r="C21" s="2" t="s">
        <v>85</v>
      </c>
      <c r="D21" s="4">
        <f>SUM(D9:D20)</f>
        <v>7402536.2699999996</v>
      </c>
      <c r="E21" s="4">
        <f>SUM(E9:E20)</f>
        <v>7402536.2800000003</v>
      </c>
      <c r="F21" s="4">
        <f t="shared" si="0"/>
        <v>14805072.550000001</v>
      </c>
      <c r="I21" s="10"/>
      <c r="J21" s="13"/>
      <c r="K21" s="13"/>
      <c r="L21" s="13"/>
    </row>
    <row r="22" spans="3:12" x14ac:dyDescent="0.25">
      <c r="C22" s="11"/>
      <c r="D22" s="11"/>
      <c r="E22" s="11"/>
      <c r="F22" s="11"/>
      <c r="I22" s="11"/>
      <c r="J22" s="11"/>
      <c r="K22" s="11"/>
      <c r="L22" s="11"/>
    </row>
  </sheetData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UPVE</dc:creator>
  <cp:lastModifiedBy>Contabilidad</cp:lastModifiedBy>
  <cp:lastPrinted>2020-01-30T19:51:24Z</cp:lastPrinted>
  <dcterms:created xsi:type="dcterms:W3CDTF">2019-01-25T19:51:28Z</dcterms:created>
  <dcterms:modified xsi:type="dcterms:W3CDTF">2020-07-22T19:33:26Z</dcterms:modified>
</cp:coreProperties>
</file>