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bilidad\Documents\RESPALDO PC LILIANA\DOCUMENTOS\PUBLICACION EN PAGINA UPVE COORDINACION\PAGINA PUBLICACION 2020\"/>
    </mc:Choice>
  </mc:AlternateContent>
  <bookViews>
    <workbookView xWindow="0" yWindow="0" windowWidth="20400" windowHeight="7065"/>
  </bookViews>
  <sheets>
    <sheet name="Hoja1" sheetId="1" r:id="rId1"/>
    <sheet name="Hoja2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2" l="1"/>
  <c r="F35" i="2"/>
  <c r="C49" i="2"/>
  <c r="AC55" i="1"/>
  <c r="AC56" i="1" s="1"/>
  <c r="AC44" i="1"/>
  <c r="C35" i="2"/>
  <c r="I18" i="1" l="1"/>
  <c r="D19" i="1"/>
  <c r="P19" i="1"/>
  <c r="J19" i="1"/>
  <c r="L19" i="1"/>
  <c r="M19" i="1"/>
  <c r="Q19" i="1"/>
  <c r="G19" i="1"/>
  <c r="G44" i="1"/>
  <c r="D55" i="1"/>
  <c r="P55" i="1"/>
  <c r="Q55" i="1"/>
  <c r="K55" i="1"/>
  <c r="L55" i="1"/>
  <c r="J55" i="1"/>
  <c r="G52" i="1"/>
  <c r="AC36" i="1"/>
  <c r="AC71" i="1"/>
  <c r="G51" i="1" l="1"/>
  <c r="H19" i="1"/>
  <c r="G55" i="1"/>
  <c r="N55" i="1"/>
  <c r="O55" i="1"/>
  <c r="Z55" i="1"/>
  <c r="G18" i="1"/>
  <c r="P18" i="1"/>
  <c r="X18" i="1"/>
  <c r="M18" i="1"/>
  <c r="J18" i="1"/>
  <c r="R18" i="1"/>
  <c r="O18" i="1"/>
  <c r="N18" i="1"/>
  <c r="Z18" i="1"/>
  <c r="G54" i="1"/>
  <c r="D54" i="1"/>
  <c r="Q54" i="1"/>
  <c r="K54" i="1"/>
  <c r="J54" i="1"/>
  <c r="H54" i="1"/>
  <c r="G53" i="1" l="1"/>
  <c r="U53" i="1"/>
  <c r="K53" i="1"/>
  <c r="T53" i="1"/>
  <c r="N53" i="1"/>
  <c r="J53" i="1"/>
  <c r="P53" i="1"/>
  <c r="H53" i="1"/>
  <c r="Z53" i="1"/>
  <c r="O53" i="1"/>
  <c r="R52" i="1"/>
  <c r="AA52" i="1"/>
  <c r="D52" i="1"/>
  <c r="Q52" i="1" l="1"/>
  <c r="L52" i="1"/>
  <c r="P52" i="1"/>
  <c r="U52" i="1"/>
  <c r="U51" i="1"/>
  <c r="P51" i="1"/>
  <c r="P50" i="1"/>
  <c r="AA50" i="1"/>
  <c r="W51" i="1"/>
  <c r="L51" i="1"/>
  <c r="Q51" i="1"/>
  <c r="E51" i="1"/>
  <c r="J51" i="1"/>
  <c r="J56" i="1" s="1"/>
  <c r="T51" i="1"/>
  <c r="K51" i="1"/>
  <c r="H51" i="1"/>
  <c r="O51" i="1"/>
  <c r="N51" i="1"/>
  <c r="Z51" i="1"/>
  <c r="G50" i="1"/>
  <c r="D50" i="1"/>
  <c r="L50" i="1"/>
  <c r="Q50" i="1"/>
  <c r="E50" i="1"/>
  <c r="R50" i="1"/>
  <c r="U50" i="1"/>
  <c r="O49" i="1"/>
  <c r="G49" i="1"/>
  <c r="Q49" i="1"/>
  <c r="Z49" i="1"/>
  <c r="N49" i="1"/>
  <c r="G48" i="1" l="1"/>
  <c r="D48" i="1"/>
  <c r="Q48" i="1"/>
  <c r="E48" i="1"/>
  <c r="H48" i="1"/>
  <c r="M48" i="1"/>
  <c r="G47" i="1"/>
  <c r="Q47" i="1"/>
  <c r="G46" i="1"/>
  <c r="D46" i="1"/>
  <c r="E46" i="1"/>
  <c r="P46" i="1"/>
  <c r="L46" i="1"/>
  <c r="Z46" i="1"/>
  <c r="V46" i="1"/>
  <c r="H46" i="1"/>
  <c r="X46" i="1"/>
  <c r="W46" i="1"/>
  <c r="T46" i="1"/>
  <c r="M46" i="1"/>
  <c r="Q46" i="1"/>
  <c r="G45" i="1"/>
  <c r="W45" i="1"/>
  <c r="Y45" i="1"/>
  <c r="P45" i="1"/>
  <c r="U45" i="1"/>
  <c r="D45" i="1"/>
  <c r="X45" i="1"/>
  <c r="Q45" i="1"/>
  <c r="M45" i="1"/>
  <c r="L45" i="1"/>
  <c r="I44" i="1"/>
  <c r="P44" i="1"/>
  <c r="L44" i="1"/>
  <c r="D44" i="1"/>
  <c r="E44" i="1"/>
  <c r="U44" i="1"/>
  <c r="M44" i="1"/>
  <c r="X44" i="1"/>
  <c r="G17" i="1"/>
  <c r="K17" i="1"/>
  <c r="D17" i="1"/>
  <c r="E17" i="1"/>
  <c r="L17" i="1"/>
  <c r="Q17" i="1"/>
  <c r="M17" i="1"/>
  <c r="J17" i="1"/>
  <c r="G16" i="1"/>
  <c r="L16" i="1"/>
  <c r="P16" i="1"/>
  <c r="H16" i="1"/>
  <c r="O16" i="1"/>
  <c r="Z16" i="1"/>
  <c r="N16" i="1"/>
  <c r="V16" i="1"/>
  <c r="M16" i="1"/>
  <c r="Q16" i="1"/>
  <c r="D15" i="1"/>
  <c r="G15" i="1"/>
  <c r="X15" i="1"/>
  <c r="M15" i="1"/>
  <c r="H14" i="1"/>
  <c r="L14" i="1"/>
  <c r="N14" i="1"/>
  <c r="Z14" i="1"/>
  <c r="Q14" i="1"/>
  <c r="O14" i="1"/>
  <c r="X13" i="1"/>
  <c r="M13" i="1"/>
  <c r="J13" i="1"/>
  <c r="Q13" i="1"/>
  <c r="P13" i="1"/>
  <c r="D13" i="1"/>
  <c r="G13" i="1"/>
  <c r="K13" i="1"/>
  <c r="L13" i="1"/>
  <c r="H13" i="1"/>
  <c r="E13" i="1"/>
  <c r="G12" i="1"/>
  <c r="Q12" i="1"/>
  <c r="K12" i="1"/>
  <c r="T12" i="1"/>
  <c r="Z12" i="1"/>
  <c r="P12" i="1"/>
  <c r="O12" i="1"/>
  <c r="N12" i="1"/>
  <c r="G11" i="1"/>
  <c r="D11" i="1"/>
  <c r="P11" i="1"/>
  <c r="N11" i="1"/>
  <c r="O11" i="1"/>
  <c r="L11" i="1"/>
  <c r="D10" i="1"/>
  <c r="L10" i="1"/>
  <c r="E21" i="3" l="1"/>
  <c r="F20" i="3"/>
  <c r="D21" i="3"/>
  <c r="F18" i="3"/>
  <c r="F17" i="3"/>
  <c r="F16" i="3"/>
  <c r="F15" i="3"/>
  <c r="F14" i="3"/>
  <c r="F13" i="3"/>
  <c r="F12" i="3"/>
  <c r="F11" i="3"/>
  <c r="F10" i="3"/>
  <c r="F9" i="3"/>
  <c r="F21" i="3" l="1"/>
  <c r="F19" i="3"/>
  <c r="C40" i="2" l="1"/>
  <c r="AB20" i="1"/>
  <c r="AC24" i="1" l="1"/>
  <c r="AC11" i="1" l="1"/>
  <c r="AC18" i="1" l="1"/>
  <c r="AC52" i="1" l="1"/>
  <c r="AC53" i="1"/>
  <c r="AC17" i="1"/>
  <c r="V56" i="1" l="1"/>
  <c r="N56" i="1"/>
  <c r="I56" i="1"/>
  <c r="Y56" i="1"/>
  <c r="AC54" i="1"/>
  <c r="E56" i="1"/>
  <c r="AC51" i="1"/>
  <c r="AC50" i="1"/>
  <c r="U56" i="1"/>
  <c r="AC49" i="1"/>
  <c r="Z56" i="1"/>
  <c r="S56" i="1"/>
  <c r="R56" i="1"/>
  <c r="M56" i="1"/>
  <c r="AC48" i="1"/>
  <c r="AC47" i="1"/>
  <c r="T56" i="1"/>
  <c r="Q56" i="1"/>
  <c r="O56" i="1"/>
  <c r="AC46" i="1"/>
  <c r="AC45" i="1"/>
  <c r="H56" i="1"/>
  <c r="F56" i="1"/>
  <c r="AA56" i="1"/>
  <c r="X56" i="1"/>
  <c r="W56" i="1"/>
  <c r="P56" i="1"/>
  <c r="L56" i="1"/>
  <c r="K56" i="1"/>
  <c r="G56" i="1"/>
  <c r="D56" i="1"/>
  <c r="Z20" i="1"/>
  <c r="Y20" i="1"/>
  <c r="V20" i="1"/>
  <c r="T20" i="1"/>
  <c r="I20" i="1"/>
  <c r="E20" i="1"/>
  <c r="AC19" i="1"/>
  <c r="AC16" i="1"/>
  <c r="S20" i="1"/>
  <c r="AC15" i="1"/>
  <c r="M20" i="1"/>
  <c r="AC14" i="1"/>
  <c r="Q20" i="1"/>
  <c r="AC13" i="1"/>
  <c r="R20" i="1"/>
  <c r="J20" i="1"/>
  <c r="AC12" i="1"/>
  <c r="AA20" i="1"/>
  <c r="X20" i="1"/>
  <c r="W20" i="1"/>
  <c r="U20" i="1"/>
  <c r="O20" i="1"/>
  <c r="N20" i="1"/>
  <c r="L20" i="1"/>
  <c r="H20" i="1"/>
  <c r="F20" i="1"/>
  <c r="AC10" i="1"/>
  <c r="P20" i="1"/>
  <c r="K20" i="1"/>
  <c r="AC9" i="1"/>
  <c r="G20" i="1"/>
  <c r="AC8" i="1"/>
  <c r="AC20" i="1" l="1"/>
  <c r="AC25" i="1" s="1"/>
  <c r="AC26" i="1" s="1"/>
  <c r="D20" i="1"/>
  <c r="AC59" i="1" l="1"/>
  <c r="AC60" i="1" s="1"/>
</calcChain>
</file>

<file path=xl/sharedStrings.xml><?xml version="1.0" encoding="utf-8"?>
<sst xmlns="http://schemas.openxmlformats.org/spreadsheetml/2006/main" count="194" uniqueCount="91">
  <si>
    <t xml:space="preserve">UNIVERSIDAD POLITÉCNICA DEL VALLE DEL EVORA </t>
  </si>
  <si>
    <t>APORTACIÓN FEDERAL</t>
  </si>
  <si>
    <t>MES</t>
  </si>
  <si>
    <t>SERVICIOS PERSONALES</t>
  </si>
  <si>
    <t>SERVICIO TELEFONIA TRADICIONAL</t>
  </si>
  <si>
    <t>SERVICIO TELEFONIA CELULAR</t>
  </si>
  <si>
    <t>SERVICIOS FINANCIEROS Y BANCARIOS</t>
  </si>
  <si>
    <t>ENERGIA ELECTRICA</t>
  </si>
  <si>
    <t>SEGURO DE BIENES MUEBLES E INMUEBLES</t>
  </si>
  <si>
    <t>SERVICIO DE LAVANDERIA Y LIMPIEZA</t>
  </si>
  <si>
    <t>SERVICIO DE VIGILANCIA</t>
  </si>
  <si>
    <t>VIATICOS, ALIMENTACION, HOSPEDAJEY OTROS</t>
  </si>
  <si>
    <t>SERVICIO DE AGUA POTABLE</t>
  </si>
  <si>
    <t>IMPUESTOS FEDERALES(ISR POR SALARIOS)</t>
  </si>
  <si>
    <t>CUOTA PATRONAL IMSS</t>
  </si>
  <si>
    <t>SERVICIOS INTEGRALES Y OTROS SERVICIOS</t>
  </si>
  <si>
    <t>COMBUSTIBLES, LUBRICANTES Y ADITIVOS</t>
  </si>
  <si>
    <t>REFACCIONES Y ACCESORIOS MENOS DE EQ. COMPUTO</t>
  </si>
  <si>
    <t>MATERIAL DE LIMPIEZA</t>
  </si>
  <si>
    <t>SERVICIO DE INSTALACION, REPARACION</t>
  </si>
  <si>
    <t xml:space="preserve">HERRAMIENTA Y REFACCIONES </t>
  </si>
  <si>
    <t>MATERIALES, Y UTILES Y ACCESORIOS</t>
  </si>
  <si>
    <t>IMPUESTO SOBRE NOMINA</t>
  </si>
  <si>
    <t>ARTICULOS DEPORTIVOS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</si>
  <si>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</si>
  <si>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</si>
  <si>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</si>
  <si>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</si>
  <si>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</si>
  <si>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</si>
  <si>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</si>
  <si>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</si>
  <si>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</si>
  <si>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</si>
  <si>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</si>
  <si>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</si>
  <si>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</si>
  <si>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</si>
  <si>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PAGO DE ISR</t>
  </si>
  <si>
    <t>APORTACIÓN ESTATAL</t>
  </si>
  <si>
    <t>REFACCIONES Y ACCESORIOS MENORES DE EQ. COMPUTO</t>
  </si>
  <si>
    <t>SERVICIOS LEGALES, DE CONTABILIDAD</t>
  </si>
  <si>
    <t>GASTOS CEREMONIALES</t>
  </si>
  <si>
    <t>MATERIALES Y SUMINISTRO</t>
  </si>
  <si>
    <t xml:space="preserve">MATERIALES Y SUMINISTROS </t>
  </si>
  <si>
    <t>CAPACITACIÓN</t>
  </si>
  <si>
    <t>POLIZA DE SEGUROS</t>
  </si>
  <si>
    <t xml:space="preserve"> </t>
  </si>
  <si>
    <t xml:space="preserve">SERVICIOS PERSONALES </t>
  </si>
  <si>
    <t>SERVICIO DE TELEFONIA TRADICIONAL</t>
  </si>
  <si>
    <t>SERVICIOS DE TELEFONIA CELULAR</t>
  </si>
  <si>
    <t xml:space="preserve">ENERGIA ELECTRICA </t>
  </si>
  <si>
    <t>SEGURO DE BIENES E INMUEBLES</t>
  </si>
  <si>
    <t xml:space="preserve">SERVICIOS DE LAVANDERIA Y LIMPIEZA </t>
  </si>
  <si>
    <t>SERVICIOS DE VIGILANCIA</t>
  </si>
  <si>
    <t>VIATICOS, ALIMENTACIÓN, HOSPEDAJE Y OTROS</t>
  </si>
  <si>
    <t>IMPUESTOS FEDERALES (ISR POR SALARIOS)</t>
  </si>
  <si>
    <t>COMBUSTIBLES, LUBRICANTES Y OTROS SERVICIOS</t>
  </si>
  <si>
    <t>REFACCIONES Y ACCESORIOS MENOS DE EQ. DE COMPUTO</t>
  </si>
  <si>
    <t xml:space="preserve">SERVICIO DE INSTALACIÓN, REPARACIÓN </t>
  </si>
  <si>
    <t>HERRAMIENTA Y REFACCIONES</t>
  </si>
  <si>
    <t xml:space="preserve">MATERIALES, Y UTILES Y ACCESORIOS </t>
  </si>
  <si>
    <t xml:space="preserve">IMPUESTO SOBRE NOMINA </t>
  </si>
  <si>
    <t>SERVICIOS LEGALES DE CONTABILIDAD</t>
  </si>
  <si>
    <t xml:space="preserve">POLIZA DE SEGUROS </t>
  </si>
  <si>
    <t>UNIVERSIDAD POLITÉCNICA  DEL VALLE DEL ÉVORA</t>
  </si>
  <si>
    <t xml:space="preserve">APORTACIÓN FEDERAL </t>
  </si>
  <si>
    <t>TOTAL MENSUAL</t>
  </si>
  <si>
    <t>TOTAL ANUAL</t>
  </si>
  <si>
    <t>UNIVERSIDAD POLITÉCNICA DEL VALLE DEL ÉVORA</t>
  </si>
  <si>
    <t>EJERCICIO 2020</t>
  </si>
  <si>
    <t>SUBSIDIO FEDERAL 2020</t>
  </si>
  <si>
    <t>SALDO BANCOS Al 31 DICIEMBRE 2020</t>
  </si>
  <si>
    <t>SUBSIDIO ESTATAL 2020</t>
  </si>
  <si>
    <t>SALDO AL 31 DE DICIEMBRE 2020</t>
  </si>
  <si>
    <t>SUBSIDIO EXTRAORDINARIO DICIEMBRE 2020</t>
  </si>
  <si>
    <t>CONECTIVIDAD  DE FIBRA OPTICA</t>
  </si>
  <si>
    <t>PROYECTO DE COMUNICACIÓN FASE 1</t>
  </si>
  <si>
    <t>SALDO AL 31 DE ENERO DEL 2021</t>
  </si>
  <si>
    <t>COMPUTADORAS</t>
  </si>
  <si>
    <t>IMPRESORA</t>
  </si>
  <si>
    <t>REPARACION DE CASA SOMBRA</t>
  </si>
  <si>
    <t>GASTOS</t>
  </si>
  <si>
    <t>TOTAL SUBSIDIO</t>
  </si>
  <si>
    <t>DIFERENCIA</t>
  </si>
  <si>
    <t>SALDO BANCOS AL 31 DE ENERO 2021</t>
  </si>
  <si>
    <t>CONECTIVIDAD DE FIBRA OPTICA</t>
  </si>
  <si>
    <t>SALDO BANCOS AL 31 DE ENERO 2020</t>
  </si>
  <si>
    <t>SUBSIDIO ESTATAL  2020</t>
  </si>
  <si>
    <t>SALDO BANCOS AL 31 DE DICIEMBRE 2020</t>
  </si>
  <si>
    <t xml:space="preserve">COMPUTADORAS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</si>
</sst>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justify" wrapText="1"/>
    </xf>
    <xf numFmtId="44" fontId="0" fillId="0" borderId="1" xfId="1" applyFont="1" applyBorder="1"/>
    <xf numFmtId="0" fontId="0" fillId="0" borderId="1" xfId="0" applyBorder="1"/>
    <xf numFmtId="44" fontId="0" fillId="0" borderId="1" xfId="0" applyNumberFormat="1" applyBorder="1"/>
    <xf numFmtId="44" fontId="2" fillId="0" borderId="1" xfId="0" applyNumberFormat="1" applyFont="1" applyBorder="1"/>
    <xf numFmtId="44" fontId="2" fillId="0" borderId="1" xfId="0" applyNumberFormat="1" applyFont="1" applyFill="1" applyBorder="1"/>
    <xf numFmtId="44" fontId="0" fillId="0" borderId="0" xfId="1" applyFont="1"/>
    <xf numFmtId="0" fontId="2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 vertical="justify" wrapText="1"/>
    </xf>
    <xf numFmtId="44" fontId="0" fillId="0" borderId="0" xfId="1" applyFont="1" applyBorder="1"/>
    <xf numFmtId="44" fontId="0" fillId="0" borderId="1" xfId="1" applyFont="1" applyFill="1" applyBorder="1"/>
    <xf numFmtId="44" fontId="0" fillId="0" borderId="1" xfId="0" applyNumberFormat="1" applyFill="1" applyBorder="1"/>
    <xf numFmtId="0" fontId="0" fillId="0" borderId="0" xfId="0" applyFill="1"/>
    <xf numFmtId="44" fontId="0" fillId="0" borderId="0" xfId="0" applyNumberFormat="1"/>
    <xf numFmtId="0" fontId="0" fillId="0" borderId="1" xfId="0" applyFill="1" applyBorder="1"/>
    <xf numFmtId="44" fontId="0" fillId="0" borderId="0" xfId="0" applyNumberFormat="1" applyBorder="1"/>
    <xf numFmtId="44" fontId="2" fillId="0" borderId="0" xfId="0" applyNumberFormat="1" applyFont="1" applyBorder="1"/>
    <xf numFmtId="44" fontId="0" fillId="0" borderId="2" xfId="0" applyNumberFormat="1" applyBorder="1"/>
    <xf numFmtId="0" fontId="2" fillId="0" borderId="1" xfId="0" applyFont="1" applyFill="1" applyBorder="1"/>
    <xf numFmtId="44" fontId="0" fillId="0" borderId="0" xfId="1" applyFont="1" applyFill="1" applyBorder="1"/>
    <xf numFmtId="0" fontId="3" fillId="0" borderId="0" xfId="0" applyFont="1"/>
    <xf numFmtId="0" fontId="4" fillId="0" borderId="1" xfId="0" applyFont="1" applyBorder="1"/>
    <xf numFmtId="0" fontId="5" fillId="0" borderId="1" xfId="0" applyFont="1" applyBorder="1"/>
    <xf numFmtId="0" fontId="5" fillId="0" borderId="0" xfId="0" applyFont="1"/>
    <xf numFmtId="0" fontId="3" fillId="0" borderId="1" xfId="0" applyFont="1" applyBorder="1"/>
    <xf numFmtId="44" fontId="2" fillId="0" borderId="0" xfId="1" applyFont="1"/>
    <xf numFmtId="44" fontId="2" fillId="0" borderId="0" xfId="1" applyFont="1" applyFill="1" applyBorder="1"/>
    <xf numFmtId="44" fontId="2" fillId="0" borderId="2" xfId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0</xdr:row>
      <xdr:rowOff>142875</xdr:rowOff>
    </xdr:from>
    <xdr:to>
      <xdr:col>2</xdr:col>
      <xdr:colOff>1028699</xdr:colOff>
      <xdr:row>3</xdr:row>
      <xdr:rowOff>161925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142875"/>
          <a:ext cx="828674" cy="5905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1590675</xdr:colOff>
      <xdr:row>2</xdr:row>
      <xdr:rowOff>9525</xdr:rowOff>
    </xdr:from>
    <xdr:to>
      <xdr:col>1</xdr:col>
      <xdr:colOff>2952750</xdr:colOff>
      <xdr:row>5</xdr:row>
      <xdr:rowOff>66675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390525"/>
          <a:ext cx="1362075" cy="7810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438149</xdr:colOff>
      <xdr:row>1</xdr:row>
      <xdr:rowOff>171450</xdr:rowOff>
    </xdr:from>
    <xdr:to>
      <xdr:col>3</xdr:col>
      <xdr:colOff>771524</xdr:colOff>
      <xdr:row>4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49" y="361950"/>
          <a:ext cx="1476375" cy="7239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F71"/>
  <sheetViews>
    <sheetView tabSelected="1" topLeftCell="S1" workbookViewId="0">
      <selection activeCell="AA74" sqref="AA74"/>
    </sheetView>
  </sheetViews>
  <sheetFormatPr baseColWidth="10" defaultRowHeight="15" x14ac:dyDescent="0.25"/>
  <cols>
    <col min="3" max="3" width="23.5703125" customWidth="1"/>
    <col min="4" max="4" width="25.5703125" customWidth="1"/>
    <col min="5" max="5" width="32.140625" bestFit="1" customWidth="1"/>
    <col min="6" max="6" width="27.7109375" bestFit="1" customWidth="1"/>
    <col min="7" max="7" width="13.5703125" customWidth="1"/>
    <col min="8" max="8" width="18.7109375" customWidth="1"/>
    <col min="9" max="9" width="20.140625" customWidth="1"/>
    <col min="10" max="10" width="16.85546875" customWidth="1"/>
    <col min="11" max="11" width="17.7109375" customWidth="1"/>
    <col min="12" max="12" width="18" customWidth="1"/>
    <col min="13" max="13" width="18.42578125" customWidth="1"/>
    <col min="14" max="14" width="22.7109375" customWidth="1"/>
    <col min="15" max="15" width="17" customWidth="1"/>
    <col min="16" max="16" width="19.7109375" customWidth="1"/>
    <col min="17" max="17" width="18.28515625" customWidth="1"/>
    <col min="18" max="18" width="16.42578125" customWidth="1"/>
    <col min="19" max="19" width="15.5703125" customWidth="1"/>
    <col min="20" max="20" width="14.85546875" customWidth="1"/>
    <col min="21" max="21" width="17.85546875" customWidth="1"/>
    <col min="22" max="22" width="15.28515625" customWidth="1"/>
    <col min="23" max="23" width="17.7109375" customWidth="1"/>
    <col min="24" max="24" width="17.42578125" customWidth="1"/>
    <col min="25" max="25" width="15.85546875" customWidth="1"/>
    <col min="26" max="26" width="16.28515625" customWidth="1"/>
    <col min="27" max="27" width="35.5703125" customWidth="1"/>
    <col min="28" max="28" width="27.42578125" customWidth="1"/>
    <col min="29" max="29" width="37" customWidth="1"/>
    <col min="30" max="30" width="16" customWidth="1"/>
    <col min="31" max="31" width="14.140625" bestFit="1" customWidth="1"/>
    <col min="32" max="32" width="14.5703125" customWidth="1"/>
    <col min="33" max="33" width="13.7109375" customWidth="1"/>
    <col min="34" max="34" width="16.7109375" customWidth="1"/>
  </cols>
  <sheetData>
    <row r="2" spans="3:29" x14ac:dyDescent="0.25">
      <c r="E2" s="1" t="s">
        <v>0</v>
      </c>
    </row>
    <row r="3" spans="3:29" x14ac:dyDescent="0.25">
      <c r="E3" s="1" t="s">
        <v>70</v>
      </c>
    </row>
    <row r="6" spans="3:29" x14ac:dyDescent="0.25">
      <c r="C6" s="1" t="s">
        <v>1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3:29" ht="60" x14ac:dyDescent="0.25">
      <c r="C7" s="2" t="s">
        <v>2</v>
      </c>
      <c r="D7" s="2" t="s">
        <v>3</v>
      </c>
      <c r="E7" s="2" t="s">
        <v>4</v>
      </c>
      <c r="F7" s="2" t="s">
        <v>5</v>
      </c>
      <c r="G7" s="3" t="s">
        <v>6</v>
      </c>
      <c r="H7" s="2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3" t="s">
        <v>13</v>
      </c>
      <c r="O7" s="3" t="s">
        <v>14</v>
      </c>
      <c r="P7" s="3" t="s">
        <v>15</v>
      </c>
      <c r="Q7" s="3" t="s">
        <v>16</v>
      </c>
      <c r="R7" s="3" t="s">
        <v>17</v>
      </c>
      <c r="S7" s="3" t="s">
        <v>42</v>
      </c>
      <c r="T7" s="3" t="s">
        <v>18</v>
      </c>
      <c r="U7" s="3" t="s">
        <v>19</v>
      </c>
      <c r="V7" s="3" t="s">
        <v>43</v>
      </c>
      <c r="W7" s="3" t="s">
        <v>20</v>
      </c>
      <c r="X7" s="3" t="s">
        <v>21</v>
      </c>
      <c r="Y7" s="3" t="s">
        <v>23</v>
      </c>
      <c r="Z7" s="3" t="s">
        <v>22</v>
      </c>
      <c r="AA7" s="3" t="s">
        <v>41</v>
      </c>
      <c r="AB7" s="3" t="s">
        <v>45</v>
      </c>
      <c r="AC7" s="2" t="s">
        <v>24</v>
      </c>
    </row>
    <row r="8" spans="3:29" x14ac:dyDescent="0.25">
      <c r="C8" s="2" t="s">
        <v>25</v>
      </c>
      <c r="D8" s="4"/>
      <c r="E8" s="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6">
        <f t="shared" ref="AC8:AC19" si="0">SUM(D8:AA8)</f>
        <v>0</v>
      </c>
    </row>
    <row r="9" spans="3:29" x14ac:dyDescent="0.25">
      <c r="C9" s="2" t="s">
        <v>26</v>
      </c>
      <c r="D9" s="4"/>
      <c r="E9" s="4"/>
      <c r="F9" s="4"/>
      <c r="G9" s="4"/>
      <c r="H9" s="5"/>
      <c r="I9" s="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6">
        <f t="shared" si="0"/>
        <v>0</v>
      </c>
    </row>
    <row r="10" spans="3:29" x14ac:dyDescent="0.25">
      <c r="C10" s="2" t="s">
        <v>27</v>
      </c>
      <c r="D10" s="4">
        <f>12508.5+304645.56</f>
        <v>317154.06</v>
      </c>
      <c r="E10" s="4"/>
      <c r="F10" s="4"/>
      <c r="G10" s="4">
        <v>435.3</v>
      </c>
      <c r="H10" s="4"/>
      <c r="I10" s="4"/>
      <c r="J10" s="4"/>
      <c r="K10" s="5"/>
      <c r="L10" s="4">
        <f>1638.21+4482+963.48</f>
        <v>7083.6900000000005</v>
      </c>
      <c r="M10" s="5"/>
      <c r="N10" s="4"/>
      <c r="O10" s="4">
        <v>290525.40999999997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15">
        <f t="shared" si="0"/>
        <v>615198.46</v>
      </c>
    </row>
    <row r="11" spans="3:29" s="16" customFormat="1" x14ac:dyDescent="0.25">
      <c r="C11" s="22" t="s">
        <v>28</v>
      </c>
      <c r="D11" s="14">
        <f>2539.1+301547.22+12508.5+2539.1+12508.5+293701.07+2539.1</f>
        <v>627882.59</v>
      </c>
      <c r="E11" s="14"/>
      <c r="F11" s="14"/>
      <c r="G11" s="14">
        <f>435.3+435.3+2132.08</f>
        <v>3002.68</v>
      </c>
      <c r="H11" s="14"/>
      <c r="I11" s="14"/>
      <c r="J11" s="14">
        <v>18513.599999999999</v>
      </c>
      <c r="K11" s="14">
        <v>31668</v>
      </c>
      <c r="L11" s="14">
        <f>1917.48</f>
        <v>1917.48</v>
      </c>
      <c r="M11" s="18"/>
      <c r="N11" s="14">
        <f>100989</f>
        <v>100989</v>
      </c>
      <c r="O11" s="14">
        <f>86516.64</f>
        <v>86516.64</v>
      </c>
      <c r="P11" s="14">
        <f>23617.6+15000</f>
        <v>38617.599999999999</v>
      </c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5">
        <f>SUM(D11:AB11)</f>
        <v>909107.59</v>
      </c>
    </row>
    <row r="12" spans="3:29" x14ac:dyDescent="0.25">
      <c r="C12" s="2" t="s">
        <v>29</v>
      </c>
      <c r="D12" s="4"/>
      <c r="E12" s="4"/>
      <c r="F12" s="4"/>
      <c r="G12" s="4">
        <f>1066.04</f>
        <v>1066.04</v>
      </c>
      <c r="H12" s="4"/>
      <c r="I12" s="5"/>
      <c r="J12" s="4"/>
      <c r="K12" s="4">
        <f>32934.72</f>
        <v>32934.720000000001</v>
      </c>
      <c r="L12" s="4"/>
      <c r="M12" s="5"/>
      <c r="N12" s="4">
        <f>97870</f>
        <v>97870</v>
      </c>
      <c r="O12" s="4">
        <f>294419.77</f>
        <v>294419.77</v>
      </c>
      <c r="P12" s="4">
        <f>29522+16820</f>
        <v>46342</v>
      </c>
      <c r="Q12" s="4">
        <f>2000</f>
        <v>2000</v>
      </c>
      <c r="R12" s="4"/>
      <c r="S12" s="4"/>
      <c r="T12" s="4">
        <f>6079.56</f>
        <v>6079.56</v>
      </c>
      <c r="U12" s="4"/>
      <c r="V12" s="4"/>
      <c r="W12" s="4"/>
      <c r="X12" s="4"/>
      <c r="Y12" s="4"/>
      <c r="Z12" s="4">
        <f>18151</f>
        <v>18151</v>
      </c>
      <c r="AA12" s="4"/>
      <c r="AB12" s="4"/>
      <c r="AC12" s="15">
        <f t="shared" si="0"/>
        <v>498863.09</v>
      </c>
    </row>
    <row r="13" spans="3:29" x14ac:dyDescent="0.25">
      <c r="C13" s="2" t="s">
        <v>30</v>
      </c>
      <c r="D13" s="14">
        <f>12508.5+294104.45+2539.1+12508.5+294104.45+2539.1</f>
        <v>618304.1</v>
      </c>
      <c r="E13" s="14">
        <f>2689</f>
        <v>2689</v>
      </c>
      <c r="F13" s="14"/>
      <c r="G13" s="14">
        <f>435.3+435.3</f>
        <v>870.6</v>
      </c>
      <c r="H13" s="14">
        <f>13342</f>
        <v>13342</v>
      </c>
      <c r="I13" s="14"/>
      <c r="J13" s="14">
        <f>19254.14+19254.14+19254.14</f>
        <v>57762.42</v>
      </c>
      <c r="K13" s="14">
        <f>32934.72+32934.72</f>
        <v>65869.440000000002</v>
      </c>
      <c r="L13" s="14">
        <f>1225+1227.8+689</f>
        <v>3141.8</v>
      </c>
      <c r="M13" s="14">
        <f>1483.74</f>
        <v>1483.74</v>
      </c>
      <c r="N13" s="14"/>
      <c r="O13" s="14"/>
      <c r="P13" s="14">
        <f>13533.16+5904.4</f>
        <v>19437.559999999998</v>
      </c>
      <c r="Q13" s="14">
        <f>2000</f>
        <v>2000</v>
      </c>
      <c r="R13" s="14"/>
      <c r="S13" s="14"/>
      <c r="T13" s="14"/>
      <c r="U13" s="14">
        <v>3650</v>
      </c>
      <c r="V13" s="14"/>
      <c r="W13" s="14"/>
      <c r="X13" s="14">
        <f>3928.46</f>
        <v>3928.46</v>
      </c>
      <c r="Y13" s="14"/>
      <c r="Z13" s="4"/>
      <c r="AA13" s="4"/>
      <c r="AB13" s="4"/>
      <c r="AC13" s="15">
        <f t="shared" si="0"/>
        <v>792479.12000000011</v>
      </c>
    </row>
    <row r="14" spans="3:29" x14ac:dyDescent="0.25">
      <c r="C14" s="2" t="s">
        <v>31</v>
      </c>
      <c r="D14" s="4"/>
      <c r="E14" s="4"/>
      <c r="F14" s="4"/>
      <c r="G14" s="4"/>
      <c r="H14" s="4">
        <f>15607</f>
        <v>15607</v>
      </c>
      <c r="I14" s="4"/>
      <c r="J14" s="4"/>
      <c r="K14" s="5"/>
      <c r="L14" s="4">
        <f>1093</f>
        <v>1093</v>
      </c>
      <c r="M14" s="4"/>
      <c r="N14" s="4">
        <f>95894</f>
        <v>95894</v>
      </c>
      <c r="O14" s="4">
        <f>283585.33</f>
        <v>283585.33</v>
      </c>
      <c r="P14" s="4"/>
      <c r="Q14" s="5">
        <f>3000+10000</f>
        <v>13000</v>
      </c>
      <c r="R14" s="5"/>
      <c r="S14" s="5"/>
      <c r="T14" s="5"/>
      <c r="U14" s="5"/>
      <c r="V14" s="5"/>
      <c r="W14" s="4"/>
      <c r="X14" s="5"/>
      <c r="Y14" s="5"/>
      <c r="Z14" s="5">
        <f>17787</f>
        <v>17787</v>
      </c>
      <c r="AA14" s="5"/>
      <c r="AB14" s="5"/>
      <c r="AC14" s="15">
        <f t="shared" si="0"/>
        <v>426966.33</v>
      </c>
    </row>
    <row r="15" spans="3:29" x14ac:dyDescent="0.25">
      <c r="C15" s="2" t="s">
        <v>32</v>
      </c>
      <c r="D15" s="4">
        <f>2539.1+299492.18+12508.5+12508.5+2539.1+299492.18</f>
        <v>629079.55999999994</v>
      </c>
      <c r="E15" s="4"/>
      <c r="F15" s="4"/>
      <c r="G15" s="4">
        <f>435.3+435.3</f>
        <v>870.6</v>
      </c>
      <c r="H15" s="5"/>
      <c r="I15" s="5"/>
      <c r="J15" s="4"/>
      <c r="K15" s="4"/>
      <c r="L15" s="4">
        <v>507</v>
      </c>
      <c r="M15" s="4">
        <f>3103.3</f>
        <v>3103.3</v>
      </c>
      <c r="N15" s="5"/>
      <c r="O15" s="5"/>
      <c r="P15" s="4">
        <v>1450</v>
      </c>
      <c r="Q15" s="4"/>
      <c r="R15" s="4"/>
      <c r="S15" s="4"/>
      <c r="T15" s="5"/>
      <c r="U15" s="5">
        <v>3908</v>
      </c>
      <c r="V15" s="5"/>
      <c r="W15" s="4"/>
      <c r="X15" s="4">
        <f>3161.47</f>
        <v>3161.47</v>
      </c>
      <c r="Y15" s="5"/>
      <c r="Z15" s="5"/>
      <c r="AA15" s="5"/>
      <c r="AB15" s="5"/>
      <c r="AC15" s="15">
        <f t="shared" si="0"/>
        <v>642079.92999999993</v>
      </c>
    </row>
    <row r="16" spans="3:29" x14ac:dyDescent="0.25">
      <c r="C16" s="2" t="s">
        <v>33</v>
      </c>
      <c r="D16" s="4"/>
      <c r="E16" s="5"/>
      <c r="F16" s="4"/>
      <c r="G16" s="4">
        <f>1066.04</f>
        <v>1066.04</v>
      </c>
      <c r="H16" s="4">
        <f>25435</f>
        <v>25435</v>
      </c>
      <c r="I16" s="4"/>
      <c r="J16" s="4"/>
      <c r="K16" s="5"/>
      <c r="L16" s="4">
        <f>1800+1021.92+1125+1672+1793.92+675</f>
        <v>8087.84</v>
      </c>
      <c r="M16" s="5">
        <f>1483.74</f>
        <v>1483.74</v>
      </c>
      <c r="N16" s="4">
        <f>97613</f>
        <v>97613</v>
      </c>
      <c r="O16" s="4">
        <f>294072.06</f>
        <v>294072.06</v>
      </c>
      <c r="P16" s="4">
        <f>3000</f>
        <v>3000</v>
      </c>
      <c r="Q16" s="4">
        <f>2000</f>
        <v>2000</v>
      </c>
      <c r="R16" s="4"/>
      <c r="S16" s="4"/>
      <c r="T16" s="4"/>
      <c r="U16" s="4"/>
      <c r="V16" s="4">
        <f>470.17</f>
        <v>470.17</v>
      </c>
      <c r="W16" s="4"/>
      <c r="X16" s="4"/>
      <c r="Y16" s="4"/>
      <c r="Z16" s="4">
        <f>18182</f>
        <v>18182</v>
      </c>
      <c r="AA16" s="4"/>
      <c r="AB16" s="4"/>
      <c r="AC16" s="15">
        <f t="shared" si="0"/>
        <v>451409.85</v>
      </c>
    </row>
    <row r="17" spans="3:32" x14ac:dyDescent="0.25">
      <c r="C17" s="2" t="s">
        <v>34</v>
      </c>
      <c r="D17" s="4">
        <f>2539.1+309274.93+307988.84+2539.1+12508.5+12508.5</f>
        <v>647358.97</v>
      </c>
      <c r="E17" s="4">
        <f>2689</f>
        <v>2689</v>
      </c>
      <c r="F17" s="4"/>
      <c r="G17" s="4">
        <f>435.3+435.3+1820.04</f>
        <v>2690.64</v>
      </c>
      <c r="H17" s="4"/>
      <c r="I17" s="5"/>
      <c r="J17" s="4">
        <f>19254.14</f>
        <v>19254.14</v>
      </c>
      <c r="K17" s="4">
        <f>32934.72</f>
        <v>32934.720000000001</v>
      </c>
      <c r="L17" s="4">
        <f>2170.3+2205+4015</f>
        <v>8390.2999999999993</v>
      </c>
      <c r="M17" s="4">
        <f>1483.74</f>
        <v>1483.74</v>
      </c>
      <c r="N17" s="4"/>
      <c r="O17" s="5"/>
      <c r="P17" s="4"/>
      <c r="Q17" s="4">
        <f>10000+2000</f>
        <v>12000</v>
      </c>
      <c r="R17" s="4"/>
      <c r="S17" s="5"/>
      <c r="T17" s="5"/>
      <c r="U17" s="5"/>
      <c r="V17" s="5"/>
      <c r="W17" s="4"/>
      <c r="X17" s="5"/>
      <c r="Y17" s="5"/>
      <c r="Z17" s="5"/>
      <c r="AA17" s="5"/>
      <c r="AB17" s="5"/>
      <c r="AC17" s="15">
        <f>SUM(D17:AB17)</f>
        <v>726801.51</v>
      </c>
    </row>
    <row r="18" spans="3:32" x14ac:dyDescent="0.25">
      <c r="C18" s="2" t="s">
        <v>35</v>
      </c>
      <c r="D18" s="4"/>
      <c r="E18" s="5"/>
      <c r="F18" s="4"/>
      <c r="G18" s="4">
        <f>1066.04</f>
        <v>1066.04</v>
      </c>
      <c r="H18" s="4"/>
      <c r="I18" s="5">
        <f>7223.54+6957.82</f>
        <v>14181.36</v>
      </c>
      <c r="J18" s="4">
        <f>19254.14</f>
        <v>19254.14</v>
      </c>
      <c r="K18" s="4"/>
      <c r="L18" s="4"/>
      <c r="M18" s="5">
        <f>1483.74</f>
        <v>1483.74</v>
      </c>
      <c r="N18" s="4">
        <f>100410</f>
        <v>100410</v>
      </c>
      <c r="O18" s="4">
        <f>293912.72</f>
        <v>293912.71999999997</v>
      </c>
      <c r="P18" s="5">
        <f>6587.37</f>
        <v>6587.37</v>
      </c>
      <c r="Q18" s="5"/>
      <c r="R18" s="4">
        <f>1770</f>
        <v>1770</v>
      </c>
      <c r="S18" s="4"/>
      <c r="T18" s="4"/>
      <c r="U18" s="4"/>
      <c r="V18" s="4"/>
      <c r="W18" s="4"/>
      <c r="X18" s="4">
        <f>2636.83</f>
        <v>2636.83</v>
      </c>
      <c r="Y18" s="4"/>
      <c r="Z18" s="4">
        <f>18729</f>
        <v>18729</v>
      </c>
      <c r="AA18" s="4"/>
      <c r="AB18" s="4"/>
      <c r="AC18" s="15">
        <f>SUM(D18:AB18)</f>
        <v>460031.2</v>
      </c>
    </row>
    <row r="19" spans="3:32" x14ac:dyDescent="0.25">
      <c r="C19" s="2" t="s">
        <v>36</v>
      </c>
      <c r="D19" s="4">
        <f>12508.5+79515.5+1120496.52+18128.66+1424.25+198854.64</f>
        <v>1430928.0699999998</v>
      </c>
      <c r="E19" s="5">
        <v>2689</v>
      </c>
      <c r="F19" s="4"/>
      <c r="G19" s="4">
        <f>435.3+1066.04</f>
        <v>1501.34</v>
      </c>
      <c r="H19" s="5">
        <f>15994</f>
        <v>15994</v>
      </c>
      <c r="I19" s="4"/>
      <c r="J19" s="5">
        <f>19254.14</f>
        <v>19254.14</v>
      </c>
      <c r="K19" s="4"/>
      <c r="L19" s="4">
        <f>468+1200+569+450+3321+2208.62+352+1955+1905+876.33+5337+1336+1509.72</f>
        <v>21487.67</v>
      </c>
      <c r="M19" s="5">
        <f>1483.74</f>
        <v>1483.74</v>
      </c>
      <c r="N19" s="4"/>
      <c r="O19" s="5"/>
      <c r="P19" s="5">
        <f>520+2900+2610+3560.27+2227.2+1392</f>
        <v>13209.470000000001</v>
      </c>
      <c r="Q19" s="5">
        <f>2000</f>
        <v>2000</v>
      </c>
      <c r="R19" s="5"/>
      <c r="S19" s="4"/>
      <c r="T19" s="4"/>
      <c r="U19" s="4"/>
      <c r="V19" s="4"/>
      <c r="W19" s="4"/>
      <c r="X19" s="4"/>
      <c r="Y19" s="4"/>
      <c r="Z19" s="4"/>
      <c r="AA19" s="4"/>
      <c r="AB19" s="4"/>
      <c r="AC19" s="15">
        <f t="shared" si="0"/>
        <v>1508547.4299999997</v>
      </c>
    </row>
    <row r="20" spans="3:32" x14ac:dyDescent="0.25">
      <c r="C20" s="2" t="s">
        <v>37</v>
      </c>
      <c r="D20" s="7">
        <f t="shared" ref="D20:AA20" si="1">SUM(D8:D19)</f>
        <v>4270707.3499999996</v>
      </c>
      <c r="E20" s="8">
        <f t="shared" si="1"/>
        <v>8067</v>
      </c>
      <c r="F20" s="8">
        <f t="shared" si="1"/>
        <v>0</v>
      </c>
      <c r="G20" s="8">
        <f t="shared" si="1"/>
        <v>12569.280000000002</v>
      </c>
      <c r="H20" s="8">
        <f t="shared" si="1"/>
        <v>70378</v>
      </c>
      <c r="I20" s="8">
        <f t="shared" si="1"/>
        <v>14181.36</v>
      </c>
      <c r="J20" s="8">
        <f t="shared" si="1"/>
        <v>134038.44</v>
      </c>
      <c r="K20" s="8">
        <f t="shared" si="1"/>
        <v>163406.88</v>
      </c>
      <c r="L20" s="8">
        <f t="shared" si="1"/>
        <v>51708.78</v>
      </c>
      <c r="M20" s="8">
        <f t="shared" si="1"/>
        <v>10522</v>
      </c>
      <c r="N20" s="7">
        <f t="shared" si="1"/>
        <v>492776</v>
      </c>
      <c r="O20" s="7">
        <f t="shared" si="1"/>
        <v>1543031.9300000002</v>
      </c>
      <c r="P20" s="7">
        <f t="shared" si="1"/>
        <v>128644</v>
      </c>
      <c r="Q20" s="7">
        <f t="shared" si="1"/>
        <v>33000</v>
      </c>
      <c r="R20" s="7">
        <f t="shared" si="1"/>
        <v>1770</v>
      </c>
      <c r="S20" s="7">
        <f t="shared" si="1"/>
        <v>0</v>
      </c>
      <c r="T20" s="7">
        <f t="shared" si="1"/>
        <v>6079.56</v>
      </c>
      <c r="U20" s="7">
        <f t="shared" si="1"/>
        <v>7558</v>
      </c>
      <c r="V20" s="7">
        <f t="shared" si="1"/>
        <v>470.17</v>
      </c>
      <c r="W20" s="7">
        <f t="shared" si="1"/>
        <v>0</v>
      </c>
      <c r="X20" s="7">
        <f t="shared" si="1"/>
        <v>9726.76</v>
      </c>
      <c r="Y20" s="7">
        <f t="shared" si="1"/>
        <v>0</v>
      </c>
      <c r="Z20" s="7">
        <f t="shared" si="1"/>
        <v>72849</v>
      </c>
      <c r="AA20" s="7">
        <f t="shared" si="1"/>
        <v>0</v>
      </c>
      <c r="AB20" s="7">
        <f>SUM(AB8:AB19)</f>
        <v>0</v>
      </c>
      <c r="AC20" s="7">
        <f>SUM(AC8:AC19)</f>
        <v>7031484.5099999988</v>
      </c>
    </row>
    <row r="22" spans="3:32" x14ac:dyDescent="0.25">
      <c r="AA22" t="s">
        <v>71</v>
      </c>
      <c r="AC22" s="9">
        <v>7165084</v>
      </c>
    </row>
    <row r="23" spans="3:32" x14ac:dyDescent="0.25">
      <c r="AA23" t="s">
        <v>75</v>
      </c>
      <c r="AC23" s="9">
        <v>495897</v>
      </c>
    </row>
    <row r="24" spans="3:32" x14ac:dyDescent="0.25">
      <c r="AA24" t="s">
        <v>83</v>
      </c>
      <c r="AC24" s="9">
        <f>SUM(AC22:AC23)</f>
        <v>7660981</v>
      </c>
    </row>
    <row r="25" spans="3:32" x14ac:dyDescent="0.25">
      <c r="AA25" t="s">
        <v>82</v>
      </c>
      <c r="AC25" s="9">
        <f>AC20+AC31+AC33+AC34</f>
        <v>7660980.9999999981</v>
      </c>
    </row>
    <row r="26" spans="3:32" x14ac:dyDescent="0.25">
      <c r="AA26" t="s">
        <v>84</v>
      </c>
      <c r="AC26" s="9">
        <f>AC24-AC25</f>
        <v>0</v>
      </c>
    </row>
    <row r="27" spans="3:32" x14ac:dyDescent="0.25">
      <c r="AC27" s="9"/>
    </row>
    <row r="28" spans="3:32" x14ac:dyDescent="0.25">
      <c r="AC28" s="9"/>
    </row>
    <row r="29" spans="3:32" x14ac:dyDescent="0.25">
      <c r="AC29" s="9"/>
    </row>
    <row r="30" spans="3:32" x14ac:dyDescent="0.25">
      <c r="AA30" t="s">
        <v>72</v>
      </c>
      <c r="AC30" s="4">
        <v>629496.49</v>
      </c>
      <c r="AE30" s="17"/>
      <c r="AF30" s="17"/>
    </row>
    <row r="31" spans="3:32" x14ac:dyDescent="0.25">
      <c r="AA31" t="s">
        <v>38</v>
      </c>
      <c r="AC31" s="9">
        <v>364920</v>
      </c>
    </row>
    <row r="32" spans="3:32" x14ac:dyDescent="0.25">
      <c r="AA32" t="s">
        <v>46</v>
      </c>
      <c r="AC32" s="9"/>
    </row>
    <row r="33" spans="3:30" x14ac:dyDescent="0.25">
      <c r="AA33" t="s">
        <v>76</v>
      </c>
      <c r="AC33" s="9">
        <v>244951.39</v>
      </c>
    </row>
    <row r="34" spans="3:30" x14ac:dyDescent="0.25">
      <c r="AA34" t="s">
        <v>77</v>
      </c>
      <c r="AC34" s="9">
        <v>19625.099999999999</v>
      </c>
    </row>
    <row r="35" spans="3:30" x14ac:dyDescent="0.25">
      <c r="AC35" s="9"/>
    </row>
    <row r="36" spans="3:30" x14ac:dyDescent="0.25">
      <c r="AA36" t="s">
        <v>85</v>
      </c>
      <c r="AC36" s="6">
        <f>AC30-AC31-AC32-AC33-AC34</f>
        <v>0</v>
      </c>
    </row>
    <row r="38" spans="3:30" s="11" customFormat="1" x14ac:dyDescent="0.25"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</row>
    <row r="39" spans="3:30" s="11" customFormat="1" x14ac:dyDescent="0.25">
      <c r="C39" s="10"/>
      <c r="D39" s="10"/>
      <c r="E39" s="10"/>
      <c r="F39" s="10"/>
      <c r="G39" s="12"/>
      <c r="H39" s="10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20"/>
    </row>
    <row r="40" spans="3:30" s="11" customFormat="1" x14ac:dyDescent="0.25">
      <c r="C40" s="10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</row>
    <row r="41" spans="3:30" s="11" customFormat="1" x14ac:dyDescent="0.25">
      <c r="C41" s="10"/>
      <c r="D41" s="13"/>
      <c r="H41" s="13"/>
      <c r="J41" s="13"/>
      <c r="L41" s="13"/>
      <c r="N41" s="13"/>
      <c r="O41" s="13"/>
      <c r="AC41" s="13"/>
    </row>
    <row r="42" spans="3:30" s="11" customFormat="1" x14ac:dyDescent="0.25">
      <c r="C42" s="1" t="s">
        <v>39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3:30" s="11" customFormat="1" ht="60" x14ac:dyDescent="0.25">
      <c r="C43" s="2" t="s">
        <v>2</v>
      </c>
      <c r="D43" s="2" t="s">
        <v>3</v>
      </c>
      <c r="E43" s="2" t="s">
        <v>4</v>
      </c>
      <c r="F43" s="2" t="s">
        <v>5</v>
      </c>
      <c r="G43" s="3" t="s">
        <v>6</v>
      </c>
      <c r="H43" s="2" t="s">
        <v>7</v>
      </c>
      <c r="I43" s="3" t="s">
        <v>8</v>
      </c>
      <c r="J43" s="3" t="s">
        <v>9</v>
      </c>
      <c r="K43" s="3" t="s">
        <v>10</v>
      </c>
      <c r="L43" s="3" t="s">
        <v>11</v>
      </c>
      <c r="M43" s="3" t="s">
        <v>12</v>
      </c>
      <c r="N43" s="3" t="s">
        <v>13</v>
      </c>
      <c r="O43" s="3" t="s">
        <v>14</v>
      </c>
      <c r="P43" s="3" t="s">
        <v>15</v>
      </c>
      <c r="Q43" s="3" t="s">
        <v>16</v>
      </c>
      <c r="R43" s="3" t="s">
        <v>40</v>
      </c>
      <c r="S43" s="3" t="s">
        <v>42</v>
      </c>
      <c r="T43" s="3" t="s">
        <v>18</v>
      </c>
      <c r="U43" s="3" t="s">
        <v>19</v>
      </c>
      <c r="V43" s="3" t="s">
        <v>44</v>
      </c>
      <c r="W43" s="3" t="s">
        <v>20</v>
      </c>
      <c r="X43" s="3" t="s">
        <v>21</v>
      </c>
      <c r="Y43" s="3" t="s">
        <v>23</v>
      </c>
      <c r="Z43" s="3" t="s">
        <v>22</v>
      </c>
      <c r="AA43" s="3" t="s">
        <v>41</v>
      </c>
      <c r="AB43" s="3" t="s">
        <v>45</v>
      </c>
      <c r="AC43" s="2" t="s">
        <v>24</v>
      </c>
    </row>
    <row r="44" spans="3:30" s="11" customFormat="1" x14ac:dyDescent="0.25">
      <c r="C44" s="2" t="s">
        <v>25</v>
      </c>
      <c r="D44" s="4">
        <f>1657.73+286294.57+12508.5+304074.87+12508.5</f>
        <v>617044.16999999993</v>
      </c>
      <c r="E44" s="4">
        <f>5594</f>
        <v>5594</v>
      </c>
      <c r="F44" s="4"/>
      <c r="G44" s="4">
        <f>435.3+435.3+754</f>
        <v>1624.6</v>
      </c>
      <c r="H44" s="4"/>
      <c r="I44" s="4">
        <f>9049.22</f>
        <v>9049.2199999999993</v>
      </c>
      <c r="J44" s="4"/>
      <c r="K44" s="4"/>
      <c r="L44" s="4">
        <f>10000+225</f>
        <v>10225</v>
      </c>
      <c r="M44" s="4">
        <f>1440.99</f>
        <v>1440.99</v>
      </c>
      <c r="N44" s="4"/>
      <c r="O44" s="4"/>
      <c r="P44" s="4">
        <f>200</f>
        <v>200</v>
      </c>
      <c r="Q44" s="4"/>
      <c r="R44" s="4"/>
      <c r="S44" s="4"/>
      <c r="T44" s="4"/>
      <c r="U44" s="4">
        <f>2900</f>
        <v>2900</v>
      </c>
      <c r="V44" s="4"/>
      <c r="W44" s="4"/>
      <c r="X44" s="4">
        <f>3705.78</f>
        <v>3705.78</v>
      </c>
      <c r="Y44" s="4"/>
      <c r="Z44" s="4"/>
      <c r="AA44" s="4"/>
      <c r="AB44" s="4"/>
      <c r="AC44" s="14">
        <f>SUM(D44:AB44)</f>
        <v>651783.75999999989</v>
      </c>
    </row>
    <row r="45" spans="3:30" s="11" customFormat="1" x14ac:dyDescent="0.25">
      <c r="C45" s="2" t="s">
        <v>26</v>
      </c>
      <c r="D45" s="4">
        <f>12508.5+301567.74+308104.14</f>
        <v>622180.38</v>
      </c>
      <c r="E45" s="4"/>
      <c r="F45" s="4"/>
      <c r="G45" s="5">
        <f>435.3+1044</f>
        <v>1479.3</v>
      </c>
      <c r="H45" s="4"/>
      <c r="I45" s="4"/>
      <c r="J45" s="4"/>
      <c r="K45" s="5"/>
      <c r="L45" s="4">
        <f>9803.53+514+272+500</f>
        <v>11089.53</v>
      </c>
      <c r="M45" s="5">
        <f>1482.74</f>
        <v>1482.74</v>
      </c>
      <c r="N45" s="4"/>
      <c r="O45" s="4"/>
      <c r="P45" s="4">
        <f>1740+768</f>
        <v>2508</v>
      </c>
      <c r="Q45" s="4">
        <f>20000+5000+4000</f>
        <v>29000</v>
      </c>
      <c r="R45" s="5"/>
      <c r="S45" s="5"/>
      <c r="T45" s="5"/>
      <c r="U45" s="4">
        <f>5669.76+6500+4510.17</f>
        <v>16679.93</v>
      </c>
      <c r="V45" s="5"/>
      <c r="W45" s="4">
        <f>13335</f>
        <v>13335</v>
      </c>
      <c r="X45" s="5">
        <f>4127.47</f>
        <v>4127.47</v>
      </c>
      <c r="Y45" s="4">
        <f>4466</f>
        <v>4466</v>
      </c>
      <c r="Z45" s="5"/>
      <c r="AA45" s="5"/>
      <c r="AB45" s="5"/>
      <c r="AC45" s="14">
        <f>SUM(D45:AB45)</f>
        <v>706348.35000000009</v>
      </c>
    </row>
    <row r="46" spans="3:30" s="11" customFormat="1" x14ac:dyDescent="0.25">
      <c r="C46" s="2" t="s">
        <v>27</v>
      </c>
      <c r="D46" s="4">
        <f>12508.5+12508.5+307118.68</f>
        <v>332135.67999999999</v>
      </c>
      <c r="E46" s="4">
        <f>2471</f>
        <v>2471</v>
      </c>
      <c r="F46" s="5"/>
      <c r="G46" s="4">
        <f>435.3+435.3+754</f>
        <v>1624.6</v>
      </c>
      <c r="H46" s="4">
        <f>17148</f>
        <v>17148</v>
      </c>
      <c r="I46" s="5"/>
      <c r="J46" s="4"/>
      <c r="K46" s="4"/>
      <c r="L46" s="4">
        <f>300+265+1508+290+3663.4</f>
        <v>6026.4</v>
      </c>
      <c r="M46" s="5">
        <f>1483.74</f>
        <v>1483.74</v>
      </c>
      <c r="N46" s="4"/>
      <c r="O46" s="4"/>
      <c r="P46" s="5">
        <f>20093.05+744</f>
        <v>20837.05</v>
      </c>
      <c r="Q46" s="4">
        <f>2000+10000</f>
        <v>12000</v>
      </c>
      <c r="R46" s="4"/>
      <c r="S46" s="4"/>
      <c r="T46" s="4">
        <f>5663.12</f>
        <v>5663.12</v>
      </c>
      <c r="U46" s="4"/>
      <c r="V46" s="5">
        <f>4695</f>
        <v>4695</v>
      </c>
      <c r="W46" s="4">
        <f>4931.95</f>
        <v>4931.95</v>
      </c>
      <c r="X46" s="5">
        <f>4397.48</f>
        <v>4397.4799999999996</v>
      </c>
      <c r="Y46" s="5"/>
      <c r="Z46" s="4">
        <f>18486</f>
        <v>18486</v>
      </c>
      <c r="AA46" s="4"/>
      <c r="AB46" s="4"/>
      <c r="AC46" s="15">
        <f>SUM(D46:AB46)</f>
        <v>431900.01999999996</v>
      </c>
    </row>
    <row r="47" spans="3:30" s="11" customFormat="1" x14ac:dyDescent="0.25">
      <c r="C47" s="2" t="s">
        <v>28</v>
      </c>
      <c r="D47" s="14"/>
      <c r="E47" s="4"/>
      <c r="F47" s="5"/>
      <c r="G47" s="4">
        <f>754</f>
        <v>754</v>
      </c>
      <c r="H47" s="5"/>
      <c r="I47" s="5"/>
      <c r="J47" s="5"/>
      <c r="K47" s="5"/>
      <c r="L47" s="14"/>
      <c r="M47" s="5"/>
      <c r="N47" s="4"/>
      <c r="O47" s="14"/>
      <c r="P47" s="5"/>
      <c r="Q47" s="4">
        <f>18641</f>
        <v>18641</v>
      </c>
      <c r="R47" s="5"/>
      <c r="S47" s="5"/>
      <c r="T47" s="5"/>
      <c r="U47" s="4"/>
      <c r="V47" s="5"/>
      <c r="W47" s="4"/>
      <c r="X47" s="5"/>
      <c r="Y47" s="5"/>
      <c r="Z47" s="5"/>
      <c r="AA47" s="4"/>
      <c r="AB47" s="4"/>
      <c r="AC47" s="15">
        <f>SUM(D47:AB47)</f>
        <v>19395</v>
      </c>
    </row>
    <row r="48" spans="3:30" s="11" customFormat="1" x14ac:dyDescent="0.25">
      <c r="C48" s="2" t="s">
        <v>29</v>
      </c>
      <c r="D48" s="14">
        <f>12508.5+294104.45+2539.1+294104.45+12508.5+2539.1</f>
        <v>618304.1</v>
      </c>
      <c r="E48" s="4">
        <f>2688</f>
        <v>2688</v>
      </c>
      <c r="F48" s="5"/>
      <c r="G48" s="4">
        <f>435.3+435.3+754</f>
        <v>1624.6</v>
      </c>
      <c r="H48" s="4">
        <f>27534</f>
        <v>27534</v>
      </c>
      <c r="I48" s="5"/>
      <c r="J48" s="5"/>
      <c r="K48" s="4"/>
      <c r="L48" s="14"/>
      <c r="M48" s="4">
        <f>3012.23</f>
        <v>3012.23</v>
      </c>
      <c r="N48" s="5"/>
      <c r="O48" s="4"/>
      <c r="P48" s="4"/>
      <c r="Q48" s="14">
        <f>10000</f>
        <v>10000</v>
      </c>
      <c r="R48" s="4"/>
      <c r="S48" s="4"/>
      <c r="T48" s="5"/>
      <c r="U48" s="5"/>
      <c r="V48" s="5"/>
      <c r="W48" s="4"/>
      <c r="X48" s="5"/>
      <c r="Y48" s="5"/>
      <c r="Z48" s="4"/>
      <c r="AA48" s="5"/>
      <c r="AB48" s="5"/>
      <c r="AC48" s="15">
        <f>SUM(D48:AB48)</f>
        <v>663162.92999999993</v>
      </c>
    </row>
    <row r="49" spans="3:31" s="11" customFormat="1" x14ac:dyDescent="0.25">
      <c r="C49" s="2" t="s">
        <v>30</v>
      </c>
      <c r="D49" s="14"/>
      <c r="E49" s="4"/>
      <c r="F49" s="5"/>
      <c r="G49" s="4">
        <f>754+1066.04</f>
        <v>1820.04</v>
      </c>
      <c r="H49" s="4"/>
      <c r="I49" s="5"/>
      <c r="J49" s="4"/>
      <c r="K49" s="5"/>
      <c r="L49" s="14"/>
      <c r="M49" s="5"/>
      <c r="N49" s="4">
        <f>95894</f>
        <v>95894</v>
      </c>
      <c r="O49" s="14">
        <f>84662.72</f>
        <v>84662.720000000001</v>
      </c>
      <c r="P49" s="4"/>
      <c r="Q49" s="14">
        <f>400+4000</f>
        <v>4400</v>
      </c>
      <c r="R49" s="4"/>
      <c r="S49" s="5"/>
      <c r="T49" s="5"/>
      <c r="U49" s="4"/>
      <c r="V49" s="5"/>
      <c r="W49" s="4"/>
      <c r="X49" s="4"/>
      <c r="Y49" s="5"/>
      <c r="Z49" s="5">
        <f>17787</f>
        <v>17787</v>
      </c>
      <c r="AA49" s="4"/>
      <c r="AB49" s="4"/>
      <c r="AC49" s="15">
        <f>SUM(D49:AB49)</f>
        <v>204563.76</v>
      </c>
    </row>
    <row r="50" spans="3:31" s="11" customFormat="1" x14ac:dyDescent="0.25">
      <c r="C50" s="2" t="s">
        <v>31</v>
      </c>
      <c r="D50" s="14">
        <f>12508.5+2539.1+296666.02+2539.1+299492.18+12508.5</f>
        <v>626253.39999999991</v>
      </c>
      <c r="E50" s="4">
        <f>2688+2689</f>
        <v>5377</v>
      </c>
      <c r="F50" s="5"/>
      <c r="G50" s="4">
        <f>435.3+435.3+1820.04</f>
        <v>2690.64</v>
      </c>
      <c r="H50" s="4"/>
      <c r="I50" s="5"/>
      <c r="J50" s="5"/>
      <c r="K50" s="4"/>
      <c r="L50" s="14">
        <f>2550+1241+300+375+450+375</f>
        <v>5291</v>
      </c>
      <c r="M50" s="14"/>
      <c r="N50" s="5"/>
      <c r="O50" s="4"/>
      <c r="P50" s="5">
        <f>1728.4+22+4060</f>
        <v>5810.4</v>
      </c>
      <c r="Q50" s="14">
        <f>500+604.37+561.8+1055.53+1700.71</f>
        <v>4422.41</v>
      </c>
      <c r="R50" s="5">
        <f>11745+5626</f>
        <v>17371</v>
      </c>
      <c r="S50" s="5"/>
      <c r="T50" s="5"/>
      <c r="U50" s="4">
        <f>8238.22</f>
        <v>8238.2199999999993</v>
      </c>
      <c r="V50" s="5"/>
      <c r="W50" s="4"/>
      <c r="X50" s="4"/>
      <c r="Y50" s="5"/>
      <c r="Z50" s="4"/>
      <c r="AA50" s="5">
        <f>31999.23+23200</f>
        <v>55199.229999999996</v>
      </c>
      <c r="AB50" s="5"/>
      <c r="AC50" s="15">
        <f>SUM(D50:AB50)</f>
        <v>730653.29999999993</v>
      </c>
    </row>
    <row r="51" spans="3:31" s="11" customFormat="1" x14ac:dyDescent="0.25">
      <c r="C51" s="2" t="s">
        <v>32</v>
      </c>
      <c r="D51" s="14"/>
      <c r="E51" s="5">
        <f>2689</f>
        <v>2689</v>
      </c>
      <c r="F51" s="5"/>
      <c r="G51" s="4">
        <f>754+1066.04</f>
        <v>1820.04</v>
      </c>
      <c r="H51" s="4">
        <f>17932</f>
        <v>17932</v>
      </c>
      <c r="I51" s="5"/>
      <c r="J51" s="4">
        <f>19254.14+19254.14</f>
        <v>38508.28</v>
      </c>
      <c r="K51" s="4">
        <f>32934.72+32934.72</f>
        <v>65869.440000000002</v>
      </c>
      <c r="L51" s="14">
        <f>75</f>
        <v>75</v>
      </c>
      <c r="M51" s="5"/>
      <c r="N51" s="4">
        <f>96989</f>
        <v>96989</v>
      </c>
      <c r="O51" s="14">
        <f>85834.4</f>
        <v>85834.4</v>
      </c>
      <c r="P51" s="5">
        <f>2625+1450+1650+765.7</f>
        <v>6490.7</v>
      </c>
      <c r="Q51" s="14">
        <f>300</f>
        <v>300</v>
      </c>
      <c r="R51" s="5"/>
      <c r="S51" s="5"/>
      <c r="T51" s="4">
        <f>2155.28</f>
        <v>2155.2800000000002</v>
      </c>
      <c r="U51" s="4">
        <f>3944+480</f>
        <v>4424</v>
      </c>
      <c r="V51" s="5"/>
      <c r="W51" s="4">
        <f>443+8236</f>
        <v>8679</v>
      </c>
      <c r="X51" s="4"/>
      <c r="Y51" s="5"/>
      <c r="Z51" s="5">
        <f>18076</f>
        <v>18076</v>
      </c>
      <c r="AA51" s="4"/>
      <c r="AB51" s="4"/>
      <c r="AC51" s="15">
        <f>SUM(D51:AB51)</f>
        <v>349842.14000000007</v>
      </c>
    </row>
    <row r="52" spans="3:31" s="11" customFormat="1" x14ac:dyDescent="0.25">
      <c r="C52" s="2" t="s">
        <v>33</v>
      </c>
      <c r="D52" s="14">
        <f>12508.5+2539.1+307988.84+12508.5+307988.84+2539.1</f>
        <v>646072.88</v>
      </c>
      <c r="E52" s="14"/>
      <c r="F52" s="18"/>
      <c r="G52" s="14">
        <f>435.3+435.3+754</f>
        <v>1624.6</v>
      </c>
      <c r="H52" s="14"/>
      <c r="I52" s="18"/>
      <c r="J52" s="18"/>
      <c r="K52" s="14"/>
      <c r="L52" s="14">
        <f>609+750+817.98+381</f>
        <v>2557.98</v>
      </c>
      <c r="M52" s="14"/>
      <c r="N52" s="18"/>
      <c r="O52" s="14"/>
      <c r="P52" s="18">
        <f>232.9+32+1450+1450+11472.4+3532.2+461</f>
        <v>18630.5</v>
      </c>
      <c r="Q52" s="14">
        <f>700+15000+1200+500+3000</f>
        <v>20400</v>
      </c>
      <c r="R52" s="18">
        <f>2110.04+2694.68+638.6+6305</f>
        <v>11748.32</v>
      </c>
      <c r="S52" s="18"/>
      <c r="T52" s="18"/>
      <c r="U52" s="4">
        <f>9390</f>
        <v>9390</v>
      </c>
      <c r="V52" s="5"/>
      <c r="W52" s="5"/>
      <c r="X52" s="4"/>
      <c r="Y52" s="5"/>
      <c r="Z52" s="4"/>
      <c r="AA52" s="5">
        <f>8120</f>
        <v>8120</v>
      </c>
      <c r="AB52" s="5"/>
      <c r="AC52" s="15">
        <f>SUM(D52:AB52)</f>
        <v>718544.27999999991</v>
      </c>
    </row>
    <row r="53" spans="3:31" s="11" customFormat="1" x14ac:dyDescent="0.25">
      <c r="C53" s="2" t="s">
        <v>34</v>
      </c>
      <c r="D53" s="14"/>
      <c r="E53" s="4"/>
      <c r="F53" s="5"/>
      <c r="G53" s="4">
        <f>6.96</f>
        <v>6.96</v>
      </c>
      <c r="H53" s="4">
        <f>27177</f>
        <v>27177</v>
      </c>
      <c r="I53" s="5"/>
      <c r="J53" s="4">
        <f>19254.14</f>
        <v>19254.14</v>
      </c>
      <c r="K53" s="5">
        <f>32934.72</f>
        <v>32934.720000000001</v>
      </c>
      <c r="L53" s="14"/>
      <c r="M53" s="5"/>
      <c r="N53" s="4">
        <f>100071</f>
        <v>100071</v>
      </c>
      <c r="O53" s="4">
        <f>85005.76</f>
        <v>85005.759999999995</v>
      </c>
      <c r="P53" s="4">
        <f>1450</f>
        <v>1450</v>
      </c>
      <c r="Q53" s="14"/>
      <c r="R53" s="5"/>
      <c r="S53" s="5"/>
      <c r="T53" s="5">
        <f>5899.99</f>
        <v>5899.99</v>
      </c>
      <c r="U53" s="4">
        <f>3034.8</f>
        <v>3034.8</v>
      </c>
      <c r="V53" s="5"/>
      <c r="W53" s="5"/>
      <c r="X53" s="4"/>
      <c r="Y53" s="5"/>
      <c r="Z53" s="5">
        <f>18684</f>
        <v>18684</v>
      </c>
      <c r="AA53" s="5"/>
      <c r="AB53" s="5"/>
      <c r="AC53" s="15">
        <f>SUM(D53:AB53)</f>
        <v>293518.37</v>
      </c>
    </row>
    <row r="54" spans="3:31" s="11" customFormat="1" x14ac:dyDescent="0.25">
      <c r="C54" s="2" t="s">
        <v>35</v>
      </c>
      <c r="D54" s="14">
        <f>307988.84+12508.5+369756.11+2539.1+12508.5+3924.2</f>
        <v>709225.24999999988</v>
      </c>
      <c r="E54" s="4"/>
      <c r="F54" s="5"/>
      <c r="G54" s="4">
        <f>435.3+435.3+767.92</f>
        <v>1638.52</v>
      </c>
      <c r="H54" s="5">
        <f>22070</f>
        <v>22070</v>
      </c>
      <c r="I54" s="5"/>
      <c r="J54" s="5">
        <f>19254.14</f>
        <v>19254.14</v>
      </c>
      <c r="K54" s="4">
        <f>32934.72+32934.72</f>
        <v>65869.440000000002</v>
      </c>
      <c r="L54" s="14"/>
      <c r="M54" s="4"/>
      <c r="N54" s="5"/>
      <c r="O54" s="5"/>
      <c r="P54" s="4"/>
      <c r="Q54" s="14">
        <f>2000+10000</f>
        <v>12000</v>
      </c>
      <c r="R54" s="5"/>
      <c r="S54" s="5"/>
      <c r="T54" s="5"/>
      <c r="U54" s="4"/>
      <c r="V54" s="5"/>
      <c r="W54" s="5"/>
      <c r="X54" s="4"/>
      <c r="Y54" s="5"/>
      <c r="Z54" s="4"/>
      <c r="AA54" s="5"/>
      <c r="AB54" s="5"/>
      <c r="AC54" s="15">
        <f>SUM(D54:AB54)</f>
        <v>830057.34999999986</v>
      </c>
    </row>
    <row r="55" spans="3:31" s="11" customFormat="1" x14ac:dyDescent="0.25">
      <c r="C55" s="2" t="s">
        <v>36</v>
      </c>
      <c r="D55" s="14">
        <f>307988.84+2539.1+307988.84+12508.5+2539.1+195729.44+3125.2</f>
        <v>832419.02</v>
      </c>
      <c r="E55" s="4"/>
      <c r="F55" s="5"/>
      <c r="G55" s="4">
        <f>435.3+767.92</f>
        <v>1203.22</v>
      </c>
      <c r="H55" s="4"/>
      <c r="I55" s="5"/>
      <c r="J55" s="4">
        <f>19254.14</f>
        <v>19254.14</v>
      </c>
      <c r="K55" s="5">
        <f>32934.72+32934.72</f>
        <v>65869.440000000002</v>
      </c>
      <c r="L55" s="5">
        <f>239.44</f>
        <v>239.44</v>
      </c>
      <c r="M55" s="4"/>
      <c r="N55" s="5">
        <f>118950</f>
        <v>118950</v>
      </c>
      <c r="O55" s="4">
        <f>85005.76</f>
        <v>85005.759999999995</v>
      </c>
      <c r="P55" s="4">
        <f>50000+5347.6+499.99</f>
        <v>55847.59</v>
      </c>
      <c r="Q55" s="14">
        <f>10000</f>
        <v>10000</v>
      </c>
      <c r="R55" s="5"/>
      <c r="S55" s="5"/>
      <c r="T55" s="5"/>
      <c r="U55" s="5"/>
      <c r="V55" s="5"/>
      <c r="W55" s="5"/>
      <c r="X55" s="4"/>
      <c r="Y55" s="5"/>
      <c r="Z55" s="5">
        <f>20981</f>
        <v>20981</v>
      </c>
      <c r="AA55" s="4"/>
      <c r="AB55" s="4"/>
      <c r="AC55" s="15">
        <f>SUM(D55:AB55)</f>
        <v>1209769.6100000001</v>
      </c>
    </row>
    <row r="56" spans="3:31" s="11" customFormat="1" x14ac:dyDescent="0.25">
      <c r="C56" s="2" t="s">
        <v>37</v>
      </c>
      <c r="D56" s="6">
        <f>SUM(D44:D55)</f>
        <v>5003634.879999999</v>
      </c>
      <c r="E56" s="6">
        <f t="shared" ref="E56:AA56" si="2">SUM(E44:E55)</f>
        <v>18819</v>
      </c>
      <c r="F56" s="6">
        <f t="shared" si="2"/>
        <v>0</v>
      </c>
      <c r="G56" s="6">
        <f>SUM(G44:G55)</f>
        <v>17911.12</v>
      </c>
      <c r="H56" s="15">
        <f t="shared" si="2"/>
        <v>111861</v>
      </c>
      <c r="I56" s="15">
        <f t="shared" si="2"/>
        <v>9049.2199999999993</v>
      </c>
      <c r="J56" s="15">
        <f>SUM(J44:J55)</f>
        <v>96270.7</v>
      </c>
      <c r="K56" s="15">
        <f t="shared" si="2"/>
        <v>230543.04</v>
      </c>
      <c r="L56" s="15">
        <f t="shared" si="2"/>
        <v>35504.350000000006</v>
      </c>
      <c r="M56" s="15">
        <f t="shared" si="2"/>
        <v>7419.7000000000007</v>
      </c>
      <c r="N56" s="6">
        <f t="shared" si="2"/>
        <v>411904</v>
      </c>
      <c r="O56" s="6">
        <f t="shared" si="2"/>
        <v>340508.64</v>
      </c>
      <c r="P56" s="15">
        <f t="shared" si="2"/>
        <v>111774.23999999999</v>
      </c>
      <c r="Q56" s="15">
        <f t="shared" si="2"/>
        <v>121163.41</v>
      </c>
      <c r="R56" s="15">
        <f t="shared" si="2"/>
        <v>29119.32</v>
      </c>
      <c r="S56" s="15">
        <f t="shared" si="2"/>
        <v>0</v>
      </c>
      <c r="T56" s="15">
        <f t="shared" si="2"/>
        <v>13718.39</v>
      </c>
      <c r="U56" s="15">
        <f t="shared" si="2"/>
        <v>44666.950000000004</v>
      </c>
      <c r="V56" s="6">
        <f t="shared" si="2"/>
        <v>4695</v>
      </c>
      <c r="W56" s="6">
        <f t="shared" si="2"/>
        <v>26945.95</v>
      </c>
      <c r="X56" s="6">
        <f t="shared" si="2"/>
        <v>12230.73</v>
      </c>
      <c r="Y56" s="6">
        <f t="shared" si="2"/>
        <v>4466</v>
      </c>
      <c r="Z56" s="6">
        <f>SUM(Z44:Z55)</f>
        <v>94014</v>
      </c>
      <c r="AA56" s="15">
        <f t="shared" si="2"/>
        <v>63319.229999999996</v>
      </c>
      <c r="AB56" s="15"/>
      <c r="AC56" s="6">
        <f>SUM(AC44:AC55)</f>
        <v>6809538.8699999992</v>
      </c>
      <c r="AE56" s="19"/>
    </row>
    <row r="57" spans="3:31" s="11" customFormat="1" x14ac:dyDescent="0.25">
      <c r="C57"/>
      <c r="D57"/>
      <c r="E57"/>
      <c r="F57"/>
      <c r="G57"/>
      <c r="H57" s="16"/>
      <c r="I57" s="16"/>
      <c r="J57" s="16"/>
      <c r="K57" s="16"/>
      <c r="L57" s="16"/>
      <c r="M57" s="16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 s="17"/>
    </row>
    <row r="58" spans="3:31" s="11" customFormat="1" x14ac:dyDescent="0.25"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 t="s">
        <v>73</v>
      </c>
      <c r="AC58" s="9">
        <v>7013801</v>
      </c>
    </row>
    <row r="59" spans="3:31" s="11" customFormat="1" x14ac:dyDescent="0.25"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 t="s">
        <v>82</v>
      </c>
      <c r="AC59" s="21">
        <f>AC56+AC65+AC66+AC67+AC68</f>
        <v>7013801</v>
      </c>
    </row>
    <row r="60" spans="3:31" s="11" customFormat="1" x14ac:dyDescent="0.25"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C60" s="17">
        <f>AC58-AC59</f>
        <v>0</v>
      </c>
    </row>
    <row r="61" spans="3:31" s="11" customFormat="1" x14ac:dyDescent="0.25"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C61" s="17"/>
    </row>
    <row r="62" spans="3:31" s="11" customFormat="1" x14ac:dyDescent="0.25"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C62" s="17"/>
    </row>
    <row r="63" spans="3:31" s="11" customFormat="1" x14ac:dyDescent="0.25"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C63" s="17"/>
    </row>
    <row r="64" spans="3:31" s="11" customFormat="1" x14ac:dyDescent="0.25"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 t="s">
        <v>74</v>
      </c>
      <c r="AC64" s="6">
        <v>204262.13</v>
      </c>
    </row>
    <row r="65" spans="3:32" s="11" customFormat="1" x14ac:dyDescent="0.25"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 t="s">
        <v>62</v>
      </c>
      <c r="AC65" s="19">
        <v>68710</v>
      </c>
    </row>
    <row r="66" spans="3:32" s="11" customFormat="1" x14ac:dyDescent="0.25"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 t="s">
        <v>79</v>
      </c>
      <c r="AC66" s="19">
        <v>57918.73</v>
      </c>
    </row>
    <row r="67" spans="3:32" s="11" customFormat="1" x14ac:dyDescent="0.25"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 t="s">
        <v>80</v>
      </c>
      <c r="AC67" s="19">
        <v>33483.4</v>
      </c>
    </row>
    <row r="68" spans="3:32" s="11" customFormat="1" x14ac:dyDescent="0.25"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 t="s">
        <v>81</v>
      </c>
      <c r="AC68" s="19">
        <v>44150</v>
      </c>
    </row>
    <row r="69" spans="3:32" x14ac:dyDescent="0.25">
      <c r="AC69" s="9"/>
      <c r="AF69" t="s">
        <v>47</v>
      </c>
    </row>
    <row r="70" spans="3:32" x14ac:dyDescent="0.25">
      <c r="AC70" s="9"/>
    </row>
    <row r="71" spans="3:32" x14ac:dyDescent="0.25">
      <c r="AA71" t="s">
        <v>78</v>
      </c>
      <c r="AC71" s="19">
        <f>AC64-AC65-AC66-AC67-AC68</f>
        <v>0</v>
      </c>
    </row>
  </sheetData>
  <pageMargins left="0.70866141732283472" right="0.70866141732283472" top="0.74803149606299213" bottom="0.74803149606299213" header="0.31496062992125984" footer="0.31496062992125984"/>
  <pageSetup scale="4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49"/>
  <sheetViews>
    <sheetView topLeftCell="A22" workbookViewId="0">
      <selection activeCell="H45" sqref="H45"/>
    </sheetView>
  </sheetViews>
  <sheetFormatPr baseColWidth="10" defaultRowHeight="15" x14ac:dyDescent="0.25"/>
  <cols>
    <col min="2" max="2" width="53.140625" customWidth="1"/>
    <col min="3" max="3" width="14.140625" bestFit="1" customWidth="1"/>
    <col min="5" max="5" width="54" customWidth="1"/>
    <col min="6" max="6" width="17.5703125" customWidth="1"/>
  </cols>
  <sheetData>
    <row r="4" spans="2:6" ht="21" x14ac:dyDescent="0.35">
      <c r="E4" s="24" t="s">
        <v>69</v>
      </c>
    </row>
    <row r="5" spans="2:6" ht="21" x14ac:dyDescent="0.35">
      <c r="E5" s="24" t="s">
        <v>70</v>
      </c>
    </row>
    <row r="9" spans="2:6" ht="18.75" x14ac:dyDescent="0.3">
      <c r="B9" s="25" t="s">
        <v>1</v>
      </c>
      <c r="C9" s="26"/>
      <c r="D9" s="27"/>
      <c r="E9" s="25" t="s">
        <v>39</v>
      </c>
      <c r="F9" s="26"/>
    </row>
    <row r="10" spans="2:6" x14ac:dyDescent="0.25">
      <c r="B10" s="5" t="s">
        <v>48</v>
      </c>
      <c r="C10" s="4">
        <v>4270707.3499999996</v>
      </c>
      <c r="E10" s="5" t="s">
        <v>48</v>
      </c>
      <c r="F10" s="4">
        <v>5003634.88</v>
      </c>
    </row>
    <row r="11" spans="2:6" x14ac:dyDescent="0.25">
      <c r="B11" s="5" t="s">
        <v>49</v>
      </c>
      <c r="C11" s="4">
        <v>8067</v>
      </c>
      <c r="E11" s="5" t="s">
        <v>49</v>
      </c>
      <c r="F11" s="4">
        <v>18819</v>
      </c>
    </row>
    <row r="12" spans="2:6" x14ac:dyDescent="0.25">
      <c r="B12" s="5" t="s">
        <v>50</v>
      </c>
      <c r="C12" s="4">
        <v>0</v>
      </c>
      <c r="E12" s="5" t="s">
        <v>50</v>
      </c>
      <c r="F12" s="4"/>
    </row>
    <row r="13" spans="2:6" x14ac:dyDescent="0.25">
      <c r="B13" s="5" t="s">
        <v>6</v>
      </c>
      <c r="C13" s="4">
        <v>12569.28</v>
      </c>
      <c r="E13" s="5" t="s">
        <v>6</v>
      </c>
      <c r="F13" s="4">
        <v>17911.12</v>
      </c>
    </row>
    <row r="14" spans="2:6" x14ac:dyDescent="0.25">
      <c r="B14" s="5" t="s">
        <v>51</v>
      </c>
      <c r="C14" s="4">
        <v>70378</v>
      </c>
      <c r="E14" s="5" t="s">
        <v>51</v>
      </c>
      <c r="F14" s="4">
        <v>111861</v>
      </c>
    </row>
    <row r="15" spans="2:6" x14ac:dyDescent="0.25">
      <c r="B15" s="5" t="s">
        <v>52</v>
      </c>
      <c r="C15" s="4">
        <v>14181.36</v>
      </c>
      <c r="E15" s="5" t="s">
        <v>52</v>
      </c>
      <c r="F15" s="4">
        <v>9049.2199999999993</v>
      </c>
    </row>
    <row r="16" spans="2:6" x14ac:dyDescent="0.25">
      <c r="B16" s="5" t="s">
        <v>53</v>
      </c>
      <c r="C16" s="4">
        <v>134038.44</v>
      </c>
      <c r="E16" s="5" t="s">
        <v>53</v>
      </c>
      <c r="F16" s="4">
        <v>96270.7</v>
      </c>
    </row>
    <row r="17" spans="2:6" x14ac:dyDescent="0.25">
      <c r="B17" s="5" t="s">
        <v>54</v>
      </c>
      <c r="C17" s="4">
        <v>163406.88</v>
      </c>
      <c r="E17" s="5" t="s">
        <v>54</v>
      </c>
      <c r="F17" s="4">
        <v>230543.04</v>
      </c>
    </row>
    <row r="18" spans="2:6" x14ac:dyDescent="0.25">
      <c r="B18" s="5" t="s">
        <v>55</v>
      </c>
      <c r="C18" s="4">
        <v>51708.78</v>
      </c>
      <c r="E18" s="5" t="s">
        <v>55</v>
      </c>
      <c r="F18" s="4">
        <v>35504.35</v>
      </c>
    </row>
    <row r="19" spans="2:6" x14ac:dyDescent="0.25">
      <c r="B19" s="5" t="s">
        <v>12</v>
      </c>
      <c r="C19" s="4">
        <v>10522</v>
      </c>
      <c r="E19" s="5" t="s">
        <v>12</v>
      </c>
      <c r="F19" s="4">
        <v>7419.7</v>
      </c>
    </row>
    <row r="20" spans="2:6" x14ac:dyDescent="0.25">
      <c r="B20" s="5" t="s">
        <v>56</v>
      </c>
      <c r="C20" s="4">
        <v>492776</v>
      </c>
      <c r="E20" s="5" t="s">
        <v>56</v>
      </c>
      <c r="F20" s="4">
        <v>411904</v>
      </c>
    </row>
    <row r="21" spans="2:6" x14ac:dyDescent="0.25">
      <c r="B21" s="5" t="s">
        <v>14</v>
      </c>
      <c r="C21" s="4">
        <v>1543031.93</v>
      </c>
      <c r="E21" s="5" t="s">
        <v>14</v>
      </c>
      <c r="F21" s="4">
        <v>340508.64</v>
      </c>
    </row>
    <row r="22" spans="2:6" x14ac:dyDescent="0.25">
      <c r="B22" s="5" t="s">
        <v>15</v>
      </c>
      <c r="C22" s="4">
        <v>128644</v>
      </c>
      <c r="E22" s="5" t="s">
        <v>15</v>
      </c>
      <c r="F22" s="4">
        <v>111774.24</v>
      </c>
    </row>
    <row r="23" spans="2:6" x14ac:dyDescent="0.25">
      <c r="B23" s="5" t="s">
        <v>57</v>
      </c>
      <c r="C23" s="4">
        <v>33000</v>
      </c>
      <c r="E23" s="5" t="s">
        <v>57</v>
      </c>
      <c r="F23" s="4">
        <v>121163.41</v>
      </c>
    </row>
    <row r="24" spans="2:6" x14ac:dyDescent="0.25">
      <c r="B24" s="5" t="s">
        <v>58</v>
      </c>
      <c r="C24" s="4">
        <v>1770</v>
      </c>
      <c r="E24" s="5" t="s">
        <v>58</v>
      </c>
      <c r="F24" s="4">
        <v>29119.32</v>
      </c>
    </row>
    <row r="25" spans="2:6" x14ac:dyDescent="0.25">
      <c r="B25" s="5" t="s">
        <v>42</v>
      </c>
      <c r="C25" s="4">
        <v>0</v>
      </c>
      <c r="E25" s="5" t="s">
        <v>42</v>
      </c>
      <c r="F25" s="4">
        <v>0</v>
      </c>
    </row>
    <row r="26" spans="2:6" x14ac:dyDescent="0.25">
      <c r="B26" s="5" t="s">
        <v>18</v>
      </c>
      <c r="C26" s="4">
        <v>6079.56</v>
      </c>
      <c r="E26" s="5" t="s">
        <v>18</v>
      </c>
      <c r="F26" s="4">
        <v>13718.39</v>
      </c>
    </row>
    <row r="27" spans="2:6" x14ac:dyDescent="0.25">
      <c r="B27" s="5" t="s">
        <v>59</v>
      </c>
      <c r="C27" s="4">
        <v>7558</v>
      </c>
      <c r="E27" s="5" t="s">
        <v>59</v>
      </c>
      <c r="F27" s="4">
        <v>44666.95</v>
      </c>
    </row>
    <row r="28" spans="2:6" x14ac:dyDescent="0.25">
      <c r="B28" s="5" t="s">
        <v>43</v>
      </c>
      <c r="C28" s="4">
        <v>470.17</v>
      </c>
      <c r="E28" s="5" t="s">
        <v>43</v>
      </c>
      <c r="F28" s="4">
        <v>4695</v>
      </c>
    </row>
    <row r="29" spans="2:6" x14ac:dyDescent="0.25">
      <c r="B29" s="5" t="s">
        <v>60</v>
      </c>
      <c r="C29" s="4">
        <v>0</v>
      </c>
      <c r="E29" s="5" t="s">
        <v>60</v>
      </c>
      <c r="F29" s="4">
        <v>26945.95</v>
      </c>
    </row>
    <row r="30" spans="2:6" x14ac:dyDescent="0.25">
      <c r="B30" s="5" t="s">
        <v>61</v>
      </c>
      <c r="C30" s="4">
        <v>9726.76</v>
      </c>
      <c r="E30" s="5" t="s">
        <v>61</v>
      </c>
      <c r="F30" s="4">
        <v>12230.73</v>
      </c>
    </row>
    <row r="31" spans="2:6" x14ac:dyDescent="0.25">
      <c r="B31" s="5" t="s">
        <v>23</v>
      </c>
      <c r="C31" s="4">
        <v>0</v>
      </c>
      <c r="E31" s="5" t="s">
        <v>23</v>
      </c>
      <c r="F31" s="4">
        <v>4466</v>
      </c>
    </row>
    <row r="32" spans="2:6" x14ac:dyDescent="0.25">
      <c r="B32" s="5" t="s">
        <v>62</v>
      </c>
      <c r="C32" s="4">
        <v>72849</v>
      </c>
      <c r="E32" s="5" t="s">
        <v>62</v>
      </c>
      <c r="F32" s="4">
        <v>94014</v>
      </c>
    </row>
    <row r="33" spans="2:6" x14ac:dyDescent="0.25">
      <c r="B33" s="5" t="s">
        <v>63</v>
      </c>
      <c r="C33" s="4">
        <v>0</v>
      </c>
      <c r="E33" s="5" t="s">
        <v>63</v>
      </c>
      <c r="F33" s="4">
        <v>63319.23</v>
      </c>
    </row>
    <row r="34" spans="2:6" x14ac:dyDescent="0.25">
      <c r="B34" s="5" t="s">
        <v>45</v>
      </c>
      <c r="C34" s="4">
        <v>0</v>
      </c>
      <c r="E34" s="5" t="s">
        <v>45</v>
      </c>
      <c r="F34" s="4"/>
    </row>
    <row r="35" spans="2:6" x14ac:dyDescent="0.25">
      <c r="B35" s="5" t="s">
        <v>24</v>
      </c>
      <c r="C35" s="4">
        <f>SUM(C10:C34)</f>
        <v>7031484.5099999998</v>
      </c>
      <c r="E35" s="5" t="s">
        <v>24</v>
      </c>
      <c r="F35" s="4">
        <f>SUM(F10:F34)</f>
        <v>6809538.870000001</v>
      </c>
    </row>
    <row r="36" spans="2:6" x14ac:dyDescent="0.25">
      <c r="B36" s="11"/>
      <c r="C36" s="13"/>
    </row>
    <row r="38" spans="2:6" x14ac:dyDescent="0.25">
      <c r="B38" s="1" t="s">
        <v>71</v>
      </c>
      <c r="C38" s="30">
        <v>7165084</v>
      </c>
      <c r="E38" s="1" t="s">
        <v>88</v>
      </c>
      <c r="F38" s="29">
        <v>7013801</v>
      </c>
    </row>
    <row r="39" spans="2:6" x14ac:dyDescent="0.25">
      <c r="B39" s="1" t="s">
        <v>75</v>
      </c>
      <c r="C39" s="31">
        <v>495897</v>
      </c>
      <c r="F39" s="13"/>
    </row>
    <row r="40" spans="2:6" x14ac:dyDescent="0.25">
      <c r="B40" s="1"/>
      <c r="C40" s="30">
        <f>SUM(C38:C39)</f>
        <v>7660981</v>
      </c>
      <c r="F40" s="17"/>
    </row>
    <row r="41" spans="2:6" x14ac:dyDescent="0.25">
      <c r="C41" s="23"/>
    </row>
    <row r="42" spans="2:6" x14ac:dyDescent="0.25">
      <c r="B42" s="1" t="s">
        <v>89</v>
      </c>
      <c r="C42" s="29">
        <v>629496.49</v>
      </c>
      <c r="D42" s="1"/>
      <c r="E42" s="1" t="s">
        <v>74</v>
      </c>
      <c r="F42" s="29">
        <v>204262.13</v>
      </c>
    </row>
    <row r="43" spans="2:6" x14ac:dyDescent="0.25">
      <c r="C43" s="23"/>
    </row>
    <row r="44" spans="2:6" x14ac:dyDescent="0.25">
      <c r="B44" t="s">
        <v>38</v>
      </c>
      <c r="C44" s="9">
        <v>364920</v>
      </c>
      <c r="E44" t="s">
        <v>62</v>
      </c>
      <c r="F44" s="9">
        <v>68710</v>
      </c>
    </row>
    <row r="45" spans="2:6" x14ac:dyDescent="0.25">
      <c r="B45" t="s">
        <v>64</v>
      </c>
      <c r="C45" s="9">
        <v>0</v>
      </c>
      <c r="E45" t="s">
        <v>90</v>
      </c>
      <c r="F45" s="9">
        <v>57918.73</v>
      </c>
    </row>
    <row r="46" spans="2:6" x14ac:dyDescent="0.25">
      <c r="B46" t="s">
        <v>86</v>
      </c>
      <c r="C46" s="9">
        <v>244951.39</v>
      </c>
      <c r="E46" t="s">
        <v>80</v>
      </c>
      <c r="F46" s="9">
        <v>33483.4</v>
      </c>
    </row>
    <row r="47" spans="2:6" x14ac:dyDescent="0.25">
      <c r="B47" t="s">
        <v>77</v>
      </c>
      <c r="C47" s="9">
        <v>19625.099999999999</v>
      </c>
      <c r="E47" t="s">
        <v>81</v>
      </c>
      <c r="F47" s="9">
        <v>44150</v>
      </c>
    </row>
    <row r="49" spans="2:6" x14ac:dyDescent="0.25">
      <c r="B49" s="1" t="s">
        <v>87</v>
      </c>
      <c r="C49" s="9">
        <f>C42-C44-C45-C46-C47</f>
        <v>0</v>
      </c>
      <c r="E49" s="1" t="s">
        <v>87</v>
      </c>
      <c r="F49" s="9">
        <f>F42-F44-F45-F46-F47</f>
        <v>0</v>
      </c>
    </row>
  </sheetData>
  <pageMargins left="0.70866141732283472" right="0.70866141732283472" top="0.74803149606299213" bottom="0.74803149606299213" header="0.31496062992125984" footer="0.31496062992125984"/>
  <pageSetup scale="6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2"/>
  <sheetViews>
    <sheetView workbookViewId="0">
      <selection activeCell="E23" sqref="E23"/>
    </sheetView>
  </sheetViews>
  <sheetFormatPr baseColWidth="10" defaultRowHeight="15" x14ac:dyDescent="0.25"/>
  <cols>
    <col min="3" max="3" width="17.140625" customWidth="1"/>
    <col min="4" max="4" width="32.28515625" customWidth="1"/>
    <col min="5" max="5" width="31.28515625" customWidth="1"/>
    <col min="6" max="6" width="23.140625" customWidth="1"/>
    <col min="7" max="7" width="16.42578125" customWidth="1"/>
    <col min="9" max="9" width="18.5703125" customWidth="1"/>
    <col min="10" max="10" width="23.7109375" customWidth="1"/>
    <col min="11" max="11" width="22.5703125" customWidth="1"/>
    <col min="12" max="12" width="18" customWidth="1"/>
  </cols>
  <sheetData>
    <row r="3" spans="3:12" ht="21" x14ac:dyDescent="0.35">
      <c r="E3" s="24" t="s">
        <v>65</v>
      </c>
    </row>
    <row r="4" spans="3:12" ht="21" x14ac:dyDescent="0.35">
      <c r="E4" s="24" t="s">
        <v>70</v>
      </c>
    </row>
    <row r="8" spans="3:12" ht="21" x14ac:dyDescent="0.35">
      <c r="C8" s="28" t="s">
        <v>2</v>
      </c>
      <c r="D8" s="28" t="s">
        <v>66</v>
      </c>
      <c r="E8" s="28" t="s">
        <v>39</v>
      </c>
      <c r="F8" s="28" t="s">
        <v>67</v>
      </c>
      <c r="I8" s="10"/>
      <c r="J8" s="10"/>
      <c r="K8" s="10"/>
      <c r="L8" s="10"/>
    </row>
    <row r="9" spans="3:12" x14ac:dyDescent="0.25">
      <c r="C9" s="2" t="s">
        <v>25</v>
      </c>
      <c r="D9" s="4"/>
      <c r="E9" s="4">
        <v>495222.5</v>
      </c>
      <c r="F9" s="4">
        <f>D9+E9</f>
        <v>495222.5</v>
      </c>
      <c r="I9" s="10"/>
      <c r="J9" s="13"/>
      <c r="K9" s="13"/>
      <c r="L9" s="13"/>
    </row>
    <row r="10" spans="3:12" x14ac:dyDescent="0.25">
      <c r="C10" s="2" t="s">
        <v>26</v>
      </c>
      <c r="D10" s="4">
        <v>575872</v>
      </c>
      <c r="E10" s="4">
        <v>468078.5</v>
      </c>
      <c r="F10" s="4">
        <f t="shared" ref="F10:F21" si="0">D10+E10</f>
        <v>1043950.5</v>
      </c>
      <c r="I10" s="10"/>
      <c r="J10" s="13"/>
      <c r="K10" s="13"/>
      <c r="L10" s="13"/>
    </row>
    <row r="11" spans="3:12" x14ac:dyDescent="0.25">
      <c r="C11" s="2" t="s">
        <v>27</v>
      </c>
      <c r="D11" s="4">
        <v>575872</v>
      </c>
      <c r="E11" s="4">
        <v>557292</v>
      </c>
      <c r="F11" s="4">
        <f t="shared" si="0"/>
        <v>1133164</v>
      </c>
      <c r="I11" s="10"/>
      <c r="J11" s="13"/>
      <c r="K11" s="13"/>
      <c r="L11" s="13"/>
    </row>
    <row r="12" spans="3:12" x14ac:dyDescent="0.25">
      <c r="C12" s="2" t="s">
        <v>28</v>
      </c>
      <c r="D12" s="4">
        <v>1151745</v>
      </c>
      <c r="E12" s="4">
        <v>406009</v>
      </c>
      <c r="F12" s="4">
        <f t="shared" si="0"/>
        <v>1557754</v>
      </c>
      <c r="I12" s="10"/>
      <c r="J12" s="13"/>
      <c r="K12" s="13"/>
      <c r="L12" s="13"/>
    </row>
    <row r="13" spans="3:12" x14ac:dyDescent="0.25">
      <c r="C13" s="2" t="s">
        <v>29</v>
      </c>
      <c r="D13" s="4">
        <v>575872</v>
      </c>
      <c r="E13" s="4">
        <v>859858</v>
      </c>
      <c r="F13" s="4">
        <f t="shared" si="0"/>
        <v>1435730</v>
      </c>
      <c r="I13" s="10"/>
      <c r="J13" s="13"/>
      <c r="K13" s="13"/>
      <c r="L13" s="13"/>
    </row>
    <row r="14" spans="3:12" x14ac:dyDescent="0.25">
      <c r="C14" s="2" t="s">
        <v>30</v>
      </c>
      <c r="D14" s="4">
        <v>575872</v>
      </c>
      <c r="E14" s="4">
        <v>406009</v>
      </c>
      <c r="F14" s="4">
        <f t="shared" si="0"/>
        <v>981881</v>
      </c>
      <c r="I14" s="10"/>
      <c r="J14" s="13"/>
      <c r="K14" s="13"/>
      <c r="L14" s="13"/>
    </row>
    <row r="15" spans="3:12" x14ac:dyDescent="0.25">
      <c r="C15" s="2" t="s">
        <v>31</v>
      </c>
      <c r="D15" s="4">
        <v>711442</v>
      </c>
      <c r="E15" s="4">
        <v>557292</v>
      </c>
      <c r="F15" s="4">
        <f t="shared" si="0"/>
        <v>1268734</v>
      </c>
      <c r="I15" s="10"/>
      <c r="J15" s="13"/>
      <c r="K15" s="13"/>
      <c r="L15" s="13"/>
    </row>
    <row r="16" spans="3:12" x14ac:dyDescent="0.25">
      <c r="C16" s="2" t="s">
        <v>32</v>
      </c>
      <c r="D16" s="4">
        <v>711442</v>
      </c>
      <c r="E16" s="4">
        <v>406009</v>
      </c>
      <c r="F16" s="4">
        <f t="shared" si="0"/>
        <v>1117451</v>
      </c>
      <c r="I16" s="10"/>
      <c r="J16" s="13"/>
      <c r="K16" s="13"/>
      <c r="L16" s="13"/>
    </row>
    <row r="17" spans="3:12" x14ac:dyDescent="0.25">
      <c r="C17" s="2" t="s">
        <v>33</v>
      </c>
      <c r="D17" s="4">
        <v>711442</v>
      </c>
      <c r="E17" s="4">
        <v>557292</v>
      </c>
      <c r="F17" s="4">
        <f t="shared" si="0"/>
        <v>1268734</v>
      </c>
      <c r="I17" s="10"/>
      <c r="J17" s="13"/>
      <c r="K17" s="13"/>
      <c r="L17" s="13"/>
    </row>
    <row r="18" spans="3:12" x14ac:dyDescent="0.25">
      <c r="C18" s="2" t="s">
        <v>34</v>
      </c>
      <c r="D18" s="4">
        <v>787762</v>
      </c>
      <c r="E18" s="4">
        <v>859858</v>
      </c>
      <c r="F18" s="4">
        <f t="shared" si="0"/>
        <v>1647620</v>
      </c>
      <c r="I18" s="10"/>
      <c r="J18" s="13"/>
      <c r="K18" s="13"/>
      <c r="L18" s="13"/>
    </row>
    <row r="19" spans="3:12" x14ac:dyDescent="0.25">
      <c r="C19" s="2" t="s">
        <v>35</v>
      </c>
      <c r="D19" s="4">
        <v>787763</v>
      </c>
      <c r="E19" s="4">
        <v>557292</v>
      </c>
      <c r="F19" s="4">
        <f t="shared" si="0"/>
        <v>1345055</v>
      </c>
      <c r="I19" s="10"/>
      <c r="J19" s="13"/>
      <c r="K19" s="13"/>
      <c r="L19" s="13"/>
    </row>
    <row r="20" spans="3:12" x14ac:dyDescent="0.25">
      <c r="C20" s="2" t="s">
        <v>36</v>
      </c>
      <c r="D20" s="4">
        <v>495897</v>
      </c>
      <c r="E20" s="4">
        <v>883589</v>
      </c>
      <c r="F20" s="4">
        <f t="shared" si="0"/>
        <v>1379486</v>
      </c>
      <c r="I20" s="10"/>
      <c r="J20" s="13"/>
      <c r="K20" s="13"/>
      <c r="L20" s="13"/>
    </row>
    <row r="21" spans="3:12" x14ac:dyDescent="0.25">
      <c r="C21" s="2" t="s">
        <v>68</v>
      </c>
      <c r="D21" s="4">
        <f>SUM(D9:D20)</f>
        <v>7660981</v>
      </c>
      <c r="E21" s="4">
        <f>SUM(E9:E20)</f>
        <v>7013801</v>
      </c>
      <c r="F21" s="4">
        <f t="shared" si="0"/>
        <v>14674782</v>
      </c>
      <c r="I21" s="10"/>
      <c r="J21" s="13"/>
      <c r="K21" s="13"/>
      <c r="L21" s="13"/>
    </row>
    <row r="22" spans="3:12" x14ac:dyDescent="0.25">
      <c r="C22" s="11"/>
      <c r="D22" s="11"/>
      <c r="E22" s="11"/>
      <c r="F22" s="11"/>
      <c r="I22" s="11"/>
      <c r="J22" s="11"/>
      <c r="K22" s="11"/>
      <c r="L22" s="11"/>
    </row>
  </sheetData>
  <pageMargins left="0.70866141732283472" right="0.70866141732283472" top="0.74803149606299213" bottom="0.74803149606299213" header="0.31496062992125984" footer="0.31496062992125984"/>
  <pageSetup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UPVE</dc:creator>
  <cp:lastModifiedBy>Contabilidad</cp:lastModifiedBy>
  <cp:lastPrinted>2021-02-03T16:06:47Z</cp:lastPrinted>
  <dcterms:created xsi:type="dcterms:W3CDTF">2019-01-25T19:51:28Z</dcterms:created>
  <dcterms:modified xsi:type="dcterms:W3CDTF">2021-02-03T19:39:31Z</dcterms:modified>
</cp:coreProperties>
</file>