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ocuments\RESPALDO PC LILIANA\DOCUMENTOS\PUBLICACION EN PAGINA UPVE COORDINACION\PAGINA PUBLICACIÓN 2021\"/>
    </mc:Choice>
  </mc:AlternateContent>
  <bookViews>
    <workbookView xWindow="0" yWindow="0" windowWidth="20400" windowHeight="7065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  <c r="F48" i="2"/>
  <c r="F55" i="2" s="1"/>
  <c r="F42" i="2"/>
  <c r="C42" i="2"/>
  <c r="F37" i="2"/>
  <c r="F43" i="2" s="1"/>
  <c r="F44" i="2" l="1"/>
  <c r="AD62" i="1"/>
  <c r="AD60" i="1"/>
  <c r="AD75" i="1"/>
  <c r="AD68" i="1"/>
  <c r="AD61" i="1"/>
  <c r="G55" i="1"/>
  <c r="D19" i="1" l="1"/>
  <c r="L19" i="1"/>
  <c r="S19" i="1"/>
  <c r="P19" i="1"/>
  <c r="Q19" i="1"/>
  <c r="N19" i="1"/>
  <c r="Z19" i="1"/>
  <c r="I19" i="1"/>
  <c r="H19" i="1"/>
  <c r="E19" i="1"/>
  <c r="K19" i="1"/>
  <c r="X55" i="1"/>
  <c r="Q55" i="1"/>
  <c r="L55" i="1"/>
  <c r="F55" i="1"/>
  <c r="R55" i="1"/>
  <c r="P55" i="1"/>
  <c r="S55" i="1"/>
  <c r="D55" i="1"/>
  <c r="W55" i="1"/>
  <c r="U55" i="1"/>
  <c r="M55" i="1"/>
  <c r="J55" i="1"/>
  <c r="N55" i="1"/>
  <c r="W54" i="1" l="1"/>
  <c r="P54" i="1"/>
  <c r="Y54" i="1"/>
  <c r="U48" i="1"/>
  <c r="S52" i="1"/>
  <c r="S50" i="1"/>
  <c r="N48" i="1"/>
  <c r="D54" i="1"/>
  <c r="Q54" i="1"/>
  <c r="H54" i="1"/>
  <c r="AA54" i="1"/>
  <c r="R54" i="1"/>
  <c r="T54" i="1"/>
  <c r="Z54" i="1"/>
  <c r="N54" i="1"/>
  <c r="L54" i="1"/>
  <c r="S54" i="1"/>
  <c r="E54" i="1" l="1"/>
  <c r="G18" i="1"/>
  <c r="Q18" i="1"/>
  <c r="U18" i="1"/>
  <c r="M18" i="1"/>
  <c r="D18" i="1"/>
  <c r="J18" i="1"/>
  <c r="K18" i="1"/>
  <c r="P18" i="1"/>
  <c r="L18" i="1"/>
  <c r="AA18" i="1"/>
  <c r="I18" i="1"/>
  <c r="AD54" i="1" l="1"/>
  <c r="AD55" i="1"/>
  <c r="P53" i="1"/>
  <c r="T53" i="1"/>
  <c r="W53" i="1"/>
  <c r="G53" i="1" l="1"/>
  <c r="D53" i="1"/>
  <c r="L53" i="1"/>
  <c r="U53" i="1"/>
  <c r="Q53" i="1"/>
  <c r="X53" i="1"/>
  <c r="J53" i="1"/>
  <c r="R53" i="1"/>
  <c r="H53" i="1"/>
  <c r="F53" i="1"/>
  <c r="P17" i="1"/>
  <c r="U17" i="1"/>
  <c r="AB17" i="1"/>
  <c r="R17" i="1"/>
  <c r="Q17" i="1"/>
  <c r="L17" i="1"/>
  <c r="S17" i="1"/>
  <c r="W17" i="1"/>
  <c r="T17" i="1"/>
  <c r="K17" i="1"/>
  <c r="E17" i="1"/>
  <c r="M17" i="1"/>
  <c r="Z17" i="1"/>
  <c r="N17" i="1"/>
  <c r="O17" i="1"/>
  <c r="D17" i="1"/>
  <c r="AD17" i="1" l="1"/>
  <c r="AD53" i="1"/>
  <c r="E50" i="1"/>
  <c r="AA50" i="1"/>
  <c r="H50" i="1"/>
  <c r="P50" i="1"/>
  <c r="Q50" i="1"/>
  <c r="U50" i="1"/>
  <c r="N50" i="1"/>
  <c r="Z50" i="1"/>
  <c r="X50" i="1"/>
  <c r="O50" i="1"/>
  <c r="L50" i="1"/>
  <c r="D50" i="1"/>
  <c r="G50" i="1"/>
  <c r="G14" i="1"/>
  <c r="AD14" i="1" s="1"/>
  <c r="Q14" i="1"/>
  <c r="P14" i="1"/>
  <c r="D14" i="1"/>
  <c r="L14" i="1"/>
  <c r="S14" i="1"/>
  <c r="Q52" i="1"/>
  <c r="M52" i="1"/>
  <c r="N52" i="1"/>
  <c r="D52" i="1"/>
  <c r="L52" i="1"/>
  <c r="W52" i="1"/>
  <c r="P52" i="1"/>
  <c r="Z52" i="1"/>
  <c r="U52" i="1"/>
  <c r="AD52" i="1" l="1"/>
  <c r="AD50" i="1"/>
  <c r="G51" i="1"/>
  <c r="W51" i="1"/>
  <c r="P51" i="1"/>
  <c r="U51" i="1"/>
  <c r="E51" i="1"/>
  <c r="D51" i="1"/>
  <c r="X51" i="1"/>
  <c r="T51" i="1"/>
  <c r="J51" i="1"/>
  <c r="K51" i="1"/>
  <c r="Q51" i="1"/>
  <c r="V51" i="1"/>
  <c r="M51" i="1"/>
  <c r="F51" i="1"/>
  <c r="L51" i="1"/>
  <c r="AD51" i="1" l="1"/>
  <c r="G16" i="1"/>
  <c r="Q16" i="1"/>
  <c r="D16" i="1"/>
  <c r="H16" i="1"/>
  <c r="D15" i="1"/>
  <c r="N15" i="1"/>
  <c r="Z15" i="1"/>
  <c r="H15" i="1"/>
  <c r="L15" i="1"/>
  <c r="J15" i="1"/>
  <c r="Q15" i="1"/>
  <c r="G49" i="1" l="1"/>
  <c r="D49" i="1"/>
  <c r="P49" i="1"/>
  <c r="T49" i="1"/>
  <c r="U49" i="1"/>
  <c r="M49" i="1"/>
  <c r="E49" i="1"/>
  <c r="H49" i="1"/>
  <c r="V49" i="1"/>
  <c r="L49" i="1"/>
  <c r="Q49" i="1"/>
  <c r="P48" i="1"/>
  <c r="E48" i="1"/>
  <c r="Z48" i="1"/>
  <c r="O48" i="1"/>
  <c r="D48" i="1"/>
  <c r="M48" i="1"/>
  <c r="Q48" i="1"/>
  <c r="L48" i="1"/>
  <c r="X48" i="1"/>
  <c r="G47" i="1"/>
  <c r="Q47" i="1"/>
  <c r="E47" i="1"/>
  <c r="D47" i="1"/>
  <c r="P47" i="1"/>
  <c r="X47" i="1"/>
  <c r="V47" i="1"/>
  <c r="O47" i="1"/>
  <c r="Z47" i="1"/>
  <c r="H47" i="1"/>
  <c r="L47" i="1"/>
  <c r="L46" i="1"/>
  <c r="K46" i="1"/>
  <c r="M46" i="1"/>
  <c r="U46" i="1"/>
  <c r="H46" i="1"/>
  <c r="AD46" i="1" s="1"/>
  <c r="Q46" i="1"/>
  <c r="D45" i="1"/>
  <c r="G45" i="1"/>
  <c r="G44" i="1"/>
  <c r="D44" i="1"/>
  <c r="V13" i="1"/>
  <c r="P13" i="1"/>
  <c r="U13" i="1"/>
  <c r="K13" i="1"/>
  <c r="Z13" i="1"/>
  <c r="N13" i="1"/>
  <c r="O13" i="1"/>
  <c r="J13" i="1"/>
  <c r="D13" i="1"/>
  <c r="G12" i="1"/>
  <c r="U12" i="1"/>
  <c r="V12" i="1"/>
  <c r="P12" i="1"/>
  <c r="S12" i="1"/>
  <c r="L12" i="1"/>
  <c r="Q12" i="1"/>
  <c r="D12" i="1"/>
  <c r="X12" i="1"/>
  <c r="P11" i="1"/>
  <c r="I11" i="1"/>
  <c r="N11" i="1"/>
  <c r="W11" i="1"/>
  <c r="Q11" i="1"/>
  <c r="E11" i="1"/>
  <c r="G10" i="1"/>
  <c r="D10" i="1"/>
  <c r="P10" i="1"/>
  <c r="R10" i="1"/>
  <c r="J10" i="1"/>
  <c r="M10" i="1"/>
  <c r="X10" i="1"/>
  <c r="E10" i="1"/>
  <c r="Q10" i="1"/>
  <c r="I10" i="1"/>
  <c r="Z10" i="1"/>
  <c r="N10" i="1"/>
  <c r="O10" i="1"/>
  <c r="S10" i="1"/>
  <c r="L10" i="1"/>
  <c r="W10" i="1"/>
  <c r="AD47" i="1" l="1"/>
  <c r="AD45" i="1"/>
  <c r="AD48" i="1"/>
  <c r="AD49" i="1"/>
  <c r="AD44" i="1"/>
  <c r="C53" i="2"/>
  <c r="C37" i="2"/>
  <c r="C43" i="2" s="1"/>
  <c r="C44" i="2" s="1"/>
  <c r="AD36" i="1" l="1"/>
  <c r="J56" i="1" l="1"/>
  <c r="E21" i="3" l="1"/>
  <c r="F20" i="3"/>
  <c r="D21" i="3"/>
  <c r="F18" i="3"/>
  <c r="F17" i="3"/>
  <c r="F16" i="3"/>
  <c r="F15" i="3"/>
  <c r="F14" i="3"/>
  <c r="F13" i="3"/>
  <c r="F12" i="3"/>
  <c r="F11" i="3"/>
  <c r="F10" i="3"/>
  <c r="F9" i="3"/>
  <c r="F21" i="3" l="1"/>
  <c r="F19" i="3"/>
  <c r="AB20" i="1" l="1"/>
  <c r="AD24" i="1" l="1"/>
  <c r="AD11" i="1" l="1"/>
  <c r="AD18" i="1" l="1"/>
  <c r="V56" i="1" l="1"/>
  <c r="N56" i="1"/>
  <c r="I56" i="1"/>
  <c r="Y56" i="1"/>
  <c r="E56" i="1"/>
  <c r="U56" i="1"/>
  <c r="Z56" i="1"/>
  <c r="S56" i="1"/>
  <c r="R56" i="1"/>
  <c r="M56" i="1"/>
  <c r="T56" i="1"/>
  <c r="Q56" i="1"/>
  <c r="O56" i="1"/>
  <c r="H56" i="1"/>
  <c r="F56" i="1"/>
  <c r="AA56" i="1"/>
  <c r="X56" i="1"/>
  <c r="W56" i="1"/>
  <c r="P56" i="1"/>
  <c r="L56" i="1"/>
  <c r="K56" i="1"/>
  <c r="G56" i="1"/>
  <c r="D56" i="1"/>
  <c r="Z20" i="1"/>
  <c r="Y20" i="1"/>
  <c r="V20" i="1"/>
  <c r="T20" i="1"/>
  <c r="I20" i="1"/>
  <c r="E20" i="1"/>
  <c r="AD19" i="1"/>
  <c r="AD16" i="1"/>
  <c r="S20" i="1"/>
  <c r="AD15" i="1"/>
  <c r="M20" i="1"/>
  <c r="Q20" i="1"/>
  <c r="AD13" i="1"/>
  <c r="R20" i="1"/>
  <c r="J20" i="1"/>
  <c r="AD12" i="1"/>
  <c r="AA20" i="1"/>
  <c r="X20" i="1"/>
  <c r="W20" i="1"/>
  <c r="U20" i="1"/>
  <c r="O20" i="1"/>
  <c r="N20" i="1"/>
  <c r="L20" i="1"/>
  <c r="H20" i="1"/>
  <c r="F20" i="1"/>
  <c r="AD10" i="1"/>
  <c r="P20" i="1"/>
  <c r="K20" i="1"/>
  <c r="AD9" i="1"/>
  <c r="G20" i="1"/>
  <c r="AD8" i="1"/>
  <c r="AD56" i="1" l="1"/>
  <c r="AD20" i="1"/>
  <c r="AD26" i="1" s="1"/>
  <c r="D20" i="1"/>
</calcChain>
</file>

<file path=xl/sharedStrings.xml><?xml version="1.0" encoding="utf-8"?>
<sst xmlns="http://schemas.openxmlformats.org/spreadsheetml/2006/main" count="208" uniqueCount="97">
  <si>
    <t xml:space="preserve">UNIVERSIDAD POLITÉCNICA DEL VALLE DEL EVORA </t>
  </si>
  <si>
    <t>APORTACIÓN FEDERAL</t>
  </si>
  <si>
    <t>MES</t>
  </si>
  <si>
    <t>SERVICIOS PERSONALES</t>
  </si>
  <si>
    <t>SERVICIO TELEFONIA TRADICIONAL</t>
  </si>
  <si>
    <t>SERVICIOS FINANCIEROS Y BANCARIOS</t>
  </si>
  <si>
    <t>ENERGIA ELECTRICA</t>
  </si>
  <si>
    <t>SEGURO DE BIENES MUEBLES E INMUEBLES</t>
  </si>
  <si>
    <t>SERVICIO DE LAVANDERIA Y LIMPIEZA</t>
  </si>
  <si>
    <t>SERVICIO DE VIGILANCIA</t>
  </si>
  <si>
    <t>VIATICOS, ALIMENTACION, HOSPEDAJEY OTROS</t>
  </si>
  <si>
    <t>SERVICIO DE AGUA POTABLE</t>
  </si>
  <si>
    <t>IMPUESTOS FEDERALES(ISR POR SALARIOS)</t>
  </si>
  <si>
    <t>CUOTA PATRONAL IMSS</t>
  </si>
  <si>
    <t>SERVICIOS INTEGRALES Y OTROS SERVICIOS</t>
  </si>
  <si>
    <t>COMBUSTIBLES, LUBRICANTES Y ADITIVOS</t>
  </si>
  <si>
    <t>REFACCIONES Y ACCESORIOS MENOS DE EQ. COMPUTO</t>
  </si>
  <si>
    <t>MATERIAL DE LIMPIEZA</t>
  </si>
  <si>
    <t>SERVICIO DE INSTALACION, REPARACION</t>
  </si>
  <si>
    <t xml:space="preserve">HERRAMIENTA Y REFACCIONES </t>
  </si>
  <si>
    <t>MATERIALES, Y UTILES Y ACCESORIOS</t>
  </si>
  <si>
    <t>IMPUESTO SOBRE NOMINA</t>
  </si>
  <si>
    <t>ARTICULOS DEPORTIVOS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</si>
  <si>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</si>
  <si>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</si>
  <si>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</si>
  <si>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</si>
  <si>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</si>
  <si>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</si>
  <si>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</si>
  <si>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</si>
  <si>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</si>
  <si>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</si>
  <si>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</si>
  <si>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</si>
  <si>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</si>
  <si>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</si>
  <si>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APORTACIÓN ESTATAL</t>
  </si>
  <si>
    <t>REFACCIONES Y ACCESORIOS MENORES DE EQ. COMPUTO</t>
  </si>
  <si>
    <t>SERVICIOS LEGALES, DE CONTABILIDAD</t>
  </si>
  <si>
    <t>GASTOS CEREMONIALES</t>
  </si>
  <si>
    <t>MATERIALES Y SUMINISTRO</t>
  </si>
  <si>
    <t xml:space="preserve">MATERIALES Y SUMINISTROS </t>
  </si>
  <si>
    <t xml:space="preserve"> </t>
  </si>
  <si>
    <t xml:space="preserve">SERVICIOS PERSONALES </t>
  </si>
  <si>
    <t>SERVICIO DE TELEFONIA TRADICIONAL</t>
  </si>
  <si>
    <t>SERVICIOS DE TELEFONIA CELULAR</t>
  </si>
  <si>
    <t xml:space="preserve">ENERGIA ELECTRICA </t>
  </si>
  <si>
    <t>SEGURO DE BIENES E INMUEBLES</t>
  </si>
  <si>
    <t xml:space="preserve">SERVICIOS DE LAVANDERIA Y LIMPIEZA </t>
  </si>
  <si>
    <t>SERVICIOS DE VIGILANCIA</t>
  </si>
  <si>
    <t>VIATICOS, ALIMENTACIÓN, HOSPEDAJE Y OTROS</t>
  </si>
  <si>
    <t>IMPUESTOS FEDERALES (ISR POR SALARIOS)</t>
  </si>
  <si>
    <t>COMBUSTIBLES, LUBRICANTES Y OTROS SERVICIOS</t>
  </si>
  <si>
    <t>REFACCIONES Y ACCESORIOS MENOS DE EQ. DE COMPUTO</t>
  </si>
  <si>
    <t xml:space="preserve">SERVICIO DE INSTALACIÓN, REPARACIÓN </t>
  </si>
  <si>
    <t>HERRAMIENTA Y REFACCIONES</t>
  </si>
  <si>
    <t xml:space="preserve">MATERIALES, Y UTILES Y ACCESORIOS </t>
  </si>
  <si>
    <t xml:space="preserve">IMPUESTO SOBRE NOMINA </t>
  </si>
  <si>
    <t>SERVICIOS LEGALES DE CONTABILIDAD</t>
  </si>
  <si>
    <t>UNIVERSIDAD POLITÉCNICA  DEL VALLE DEL ÉVORA</t>
  </si>
  <si>
    <t xml:space="preserve">APORTACIÓN FEDERAL </t>
  </si>
  <si>
    <t>TOTAL MENSUAL</t>
  </si>
  <si>
    <t>TOTAL ANUAL</t>
  </si>
  <si>
    <t>UNIVERSIDAD POLITÉCNICA DEL VALLE DEL ÉVORA</t>
  </si>
  <si>
    <t>GASTOS</t>
  </si>
  <si>
    <t>TOTAL SUBSIDIO</t>
  </si>
  <si>
    <t>EJERCICIO 2021</t>
  </si>
  <si>
    <t>INTERNET</t>
  </si>
  <si>
    <t>EQUIPOS DE REFRIGERACIÓN</t>
  </si>
  <si>
    <t>EQUIPO DE REFRIGERACIÓN</t>
  </si>
  <si>
    <t>EQUIPO DE COMPUTO</t>
  </si>
  <si>
    <t xml:space="preserve">VIATICOS </t>
  </si>
  <si>
    <t>MATENIMIENTO Y ADECUACION DE TERRENO</t>
  </si>
  <si>
    <t>SALDO BANCOS Al 31 DICIEMBRE 2021</t>
  </si>
  <si>
    <t>SALDO BANCOS AL 31 DE ENERO 2022</t>
  </si>
  <si>
    <t>SALDO AL 31 DE DICIEMBRE 2021</t>
  </si>
  <si>
    <t>SALDO AL 31 DE ENERO DEL 2022</t>
  </si>
  <si>
    <t>RECURSO EXTRA ESTATAL 2020</t>
  </si>
  <si>
    <t>SUBSIDIO ESTATAL 2021</t>
  </si>
  <si>
    <t xml:space="preserve">DEVOLUCION DE DEUDORES DIVERSOS </t>
  </si>
  <si>
    <t>SALDO AL 01 DE ENERO 2022</t>
  </si>
  <si>
    <t>FONACOT</t>
  </si>
  <si>
    <t>SUBSIDIO FEDERAL 2021</t>
  </si>
  <si>
    <t>SUBSIDIO EXTRAORDINARIO DICIEMBRE 2021</t>
  </si>
  <si>
    <t>PAGO DE PROVEEDORES (PERCIANAS)</t>
  </si>
  <si>
    <t>SALDO BANCOS AL 31 DE DICIEMBRE 2021</t>
  </si>
  <si>
    <t>VIATICOS</t>
  </si>
  <si>
    <t>MANTENIMIENTO Y ADECUACION DE TERRENO</t>
  </si>
  <si>
    <t>SUBSIDIO ESTATAL  2021</t>
  </si>
  <si>
    <t xml:space="preserve">DEVOLUCIÓN DE DEUDORES DIVERSOS </t>
  </si>
  <si>
    <t>SALDO AL 01 DE ENERO DEL 2022</t>
  </si>
  <si>
    <t>PAGO DE PROVEEDORES(PERCIANAS)</t>
  </si>
  <si>
    <t>SALDO</t>
  </si>
  <si>
    <t>FINIQUITO DE MANTENIMIENTO Y ADECUACION DE TERRENO</t>
  </si>
  <si>
    <t>EL 31 DE MARZO DEL 2022</t>
  </si>
  <si>
    <t>SALDO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</si>
</sst>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justify" wrapText="1"/>
    </xf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/>
    <xf numFmtId="44" fontId="2" fillId="0" borderId="1" xfId="0" applyNumberFormat="1" applyFont="1" applyFill="1" applyBorder="1"/>
    <xf numFmtId="44" fontId="0" fillId="0" borderId="0" xfId="1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justify" wrapText="1"/>
    </xf>
    <xf numFmtId="44" fontId="0" fillId="0" borderId="0" xfId="1" applyFont="1" applyBorder="1"/>
    <xf numFmtId="44" fontId="0" fillId="0" borderId="1" xfId="1" applyFont="1" applyFill="1" applyBorder="1"/>
    <xf numFmtId="44" fontId="0" fillId="0" borderId="1" xfId="0" applyNumberFormat="1" applyFill="1" applyBorder="1"/>
    <xf numFmtId="0" fontId="0" fillId="0" borderId="0" xfId="0" applyFill="1"/>
    <xf numFmtId="44" fontId="0" fillId="0" borderId="0" xfId="0" applyNumberFormat="1"/>
    <xf numFmtId="0" fontId="0" fillId="0" borderId="1" xfId="0" applyFill="1" applyBorder="1"/>
    <xf numFmtId="44" fontId="0" fillId="0" borderId="0" xfId="0" applyNumberFormat="1" applyBorder="1"/>
    <xf numFmtId="44" fontId="2" fillId="0" borderId="0" xfId="0" applyNumberFormat="1" applyFont="1" applyBorder="1"/>
    <xf numFmtId="44" fontId="0" fillId="0" borderId="2" xfId="0" applyNumberFormat="1" applyBorder="1"/>
    <xf numFmtId="0" fontId="2" fillId="0" borderId="1" xfId="0" applyFont="1" applyFill="1" applyBorder="1"/>
    <xf numFmtId="44" fontId="0" fillId="0" borderId="0" xfId="1" applyFont="1" applyFill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3" fillId="0" borderId="1" xfId="0" applyFont="1" applyBorder="1"/>
    <xf numFmtId="44" fontId="2" fillId="0" borderId="0" xfId="1" applyFont="1"/>
    <xf numFmtId="44" fontId="2" fillId="0" borderId="0" xfId="1" applyFont="1" applyFill="1" applyBorder="1"/>
    <xf numFmtId="44" fontId="2" fillId="0" borderId="2" xfId="1" applyFont="1" applyFill="1" applyBorder="1"/>
    <xf numFmtId="0" fontId="0" fillId="0" borderId="0" xfId="0" applyFill="1" applyBorder="1"/>
    <xf numFmtId="44" fontId="2" fillId="0" borderId="0" xfId="1" applyFont="1" applyBorder="1"/>
    <xf numFmtId="44" fontId="2" fillId="0" borderId="0" xfId="0" applyNumberFormat="1" applyFont="1"/>
    <xf numFmtId="44" fontId="2" fillId="0" borderId="2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142875</xdr:rowOff>
    </xdr:from>
    <xdr:to>
      <xdr:col>2</xdr:col>
      <xdr:colOff>1028699</xdr:colOff>
      <xdr:row>3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42875"/>
          <a:ext cx="828674" cy="590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2</xdr:row>
      <xdr:rowOff>9525</xdr:rowOff>
    </xdr:from>
    <xdr:to>
      <xdr:col>1</xdr:col>
      <xdr:colOff>2952750</xdr:colOff>
      <xdr:row>5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90525"/>
          <a:ext cx="1362075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438149</xdr:colOff>
      <xdr:row>1</xdr:row>
      <xdr:rowOff>171450</xdr:rowOff>
    </xdr:from>
    <xdr:to>
      <xdr:col>3</xdr:col>
      <xdr:colOff>771524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49" y="361950"/>
          <a:ext cx="1476375" cy="7239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G75"/>
  <sheetViews>
    <sheetView tabSelected="1" workbookViewId="0">
      <selection activeCell="D27" sqref="D27"/>
    </sheetView>
  </sheetViews>
  <sheetFormatPr baseColWidth="10" defaultRowHeight="15" x14ac:dyDescent="0.25"/>
  <cols>
    <col min="3" max="3" width="23.5703125" customWidth="1"/>
    <col min="4" max="4" width="25.5703125" customWidth="1"/>
    <col min="5" max="5" width="32.140625" bestFit="1" customWidth="1"/>
    <col min="6" max="6" width="27.7109375" bestFit="1" customWidth="1"/>
    <col min="7" max="7" width="13.5703125" customWidth="1"/>
    <col min="8" max="8" width="18.7109375" customWidth="1"/>
    <col min="9" max="9" width="20.140625" customWidth="1"/>
    <col min="10" max="10" width="16.85546875" customWidth="1"/>
    <col min="11" max="11" width="17.7109375" customWidth="1"/>
    <col min="12" max="12" width="18" customWidth="1"/>
    <col min="13" max="13" width="18.42578125" customWidth="1"/>
    <col min="14" max="14" width="22.7109375" customWidth="1"/>
    <col min="15" max="15" width="17" customWidth="1"/>
    <col min="16" max="16" width="19.7109375" customWidth="1"/>
    <col min="17" max="17" width="18.28515625" customWidth="1"/>
    <col min="18" max="18" width="16.42578125" customWidth="1"/>
    <col min="19" max="19" width="15.5703125" customWidth="1"/>
    <col min="20" max="20" width="14.85546875" customWidth="1"/>
    <col min="21" max="21" width="17.85546875" customWidth="1"/>
    <col min="22" max="22" width="15.28515625" customWidth="1"/>
    <col min="23" max="23" width="17.7109375" customWidth="1"/>
    <col min="24" max="24" width="17.42578125" customWidth="1"/>
    <col min="25" max="25" width="15.85546875" customWidth="1"/>
    <col min="26" max="26" width="16.28515625" customWidth="1"/>
    <col min="27" max="27" width="35.5703125" customWidth="1"/>
    <col min="28" max="29" width="27.42578125" customWidth="1"/>
    <col min="30" max="30" width="37" customWidth="1"/>
    <col min="31" max="31" width="16" customWidth="1"/>
    <col min="32" max="32" width="14.140625" bestFit="1" customWidth="1"/>
    <col min="33" max="33" width="14.5703125" customWidth="1"/>
    <col min="34" max="34" width="13.7109375" customWidth="1"/>
    <col min="35" max="35" width="16.7109375" customWidth="1"/>
  </cols>
  <sheetData>
    <row r="2" spans="3:30" x14ac:dyDescent="0.25">
      <c r="E2" s="1" t="s">
        <v>0</v>
      </c>
    </row>
    <row r="3" spans="3:30" x14ac:dyDescent="0.25">
      <c r="E3" s="1" t="s">
        <v>67</v>
      </c>
    </row>
    <row r="6" spans="3:30" x14ac:dyDescent="0.25">
      <c r="C6" s="1" t="s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3:30" ht="60" x14ac:dyDescent="0.25">
      <c r="C7" s="2" t="s">
        <v>2</v>
      </c>
      <c r="D7" s="2" t="s">
        <v>3</v>
      </c>
      <c r="E7" s="2" t="s">
        <v>4</v>
      </c>
      <c r="F7" s="2" t="s">
        <v>68</v>
      </c>
      <c r="G7" s="3" t="s">
        <v>5</v>
      </c>
      <c r="H7" s="2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  <c r="R7" s="3" t="s">
        <v>16</v>
      </c>
      <c r="S7" s="3" t="s">
        <v>40</v>
      </c>
      <c r="T7" s="3" t="s">
        <v>17</v>
      </c>
      <c r="U7" s="3" t="s">
        <v>18</v>
      </c>
      <c r="V7" s="3" t="s">
        <v>41</v>
      </c>
      <c r="W7" s="3" t="s">
        <v>19</v>
      </c>
      <c r="X7" s="3" t="s">
        <v>20</v>
      </c>
      <c r="Y7" s="3" t="s">
        <v>22</v>
      </c>
      <c r="Z7" s="3" t="s">
        <v>21</v>
      </c>
      <c r="AA7" s="3" t="s">
        <v>39</v>
      </c>
      <c r="AB7" s="3" t="s">
        <v>69</v>
      </c>
      <c r="AC7" s="3"/>
      <c r="AD7" s="2" t="s">
        <v>23</v>
      </c>
    </row>
    <row r="8" spans="3:30" x14ac:dyDescent="0.25">
      <c r="C8" s="2" t="s">
        <v>24</v>
      </c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6">
        <f t="shared" ref="AD8:AD19" si="0">SUM(D8:AA8)</f>
        <v>0</v>
      </c>
    </row>
    <row r="9" spans="3:30" x14ac:dyDescent="0.25">
      <c r="C9" s="2" t="s">
        <v>25</v>
      </c>
      <c r="D9" s="4"/>
      <c r="E9" s="4"/>
      <c r="F9" s="4"/>
      <c r="G9" s="4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6">
        <f t="shared" si="0"/>
        <v>0</v>
      </c>
    </row>
    <row r="10" spans="3:30" x14ac:dyDescent="0.25">
      <c r="C10" s="2" t="s">
        <v>26</v>
      </c>
      <c r="D10" s="4">
        <f>12508.5+320222.8+2727.88+321652.89+2727.88+12508.5</f>
        <v>672348.45000000007</v>
      </c>
      <c r="E10" s="4">
        <f>2689</f>
        <v>2689</v>
      </c>
      <c r="F10" s="4"/>
      <c r="G10" s="4">
        <f>435.3+435.3+1820.04</f>
        <v>2690.64</v>
      </c>
      <c r="H10" s="4"/>
      <c r="I10" s="4">
        <f>9049.22</f>
        <v>9049.2199999999993</v>
      </c>
      <c r="J10" s="4">
        <f>19254.14+19254.14</f>
        <v>38508.28</v>
      </c>
      <c r="K10" s="5"/>
      <c r="L10" s="4">
        <f>933+924+2094+359.99</f>
        <v>4310.99</v>
      </c>
      <c r="M10" s="5">
        <f>3012.23</f>
        <v>3012.23</v>
      </c>
      <c r="N10" s="4">
        <f>135122</f>
        <v>135122</v>
      </c>
      <c r="O10" s="4">
        <f>278821.79</f>
        <v>278821.78999999998</v>
      </c>
      <c r="P10" s="4">
        <f>172.33+445+5000+1535+9000+2900</f>
        <v>19052.330000000002</v>
      </c>
      <c r="Q10" s="4">
        <f>3575.58+1125.8+910.3+650+2000+2000</f>
        <v>10261.68</v>
      </c>
      <c r="R10" s="4">
        <f>32798.06</f>
        <v>32798.06</v>
      </c>
      <c r="S10" s="4">
        <f>545.8</f>
        <v>545.79999999999995</v>
      </c>
      <c r="T10" s="4"/>
      <c r="U10" s="4"/>
      <c r="V10" s="4"/>
      <c r="W10" s="4">
        <f>440</f>
        <v>440</v>
      </c>
      <c r="X10" s="4">
        <f>1450+6751.15</f>
        <v>8201.15</v>
      </c>
      <c r="Y10" s="4"/>
      <c r="Z10" s="4">
        <f>29506</f>
        <v>29506</v>
      </c>
      <c r="AA10" s="4"/>
      <c r="AB10" s="4"/>
      <c r="AC10" s="4"/>
      <c r="AD10" s="15">
        <f t="shared" si="0"/>
        <v>1247357.6200000001</v>
      </c>
    </row>
    <row r="11" spans="3:30" s="16" customFormat="1" x14ac:dyDescent="0.25">
      <c r="C11" s="22" t="s">
        <v>27</v>
      </c>
      <c r="D11" s="14"/>
      <c r="E11" s="14">
        <f>3147</f>
        <v>3147</v>
      </c>
      <c r="F11" s="14"/>
      <c r="G11" s="14"/>
      <c r="H11" s="14"/>
      <c r="I11" s="14">
        <f>7462.94+212</f>
        <v>7674.94</v>
      </c>
      <c r="J11" s="14"/>
      <c r="K11" s="14"/>
      <c r="L11" s="14"/>
      <c r="M11" s="18"/>
      <c r="N11" s="14">
        <f>97195</f>
        <v>97195</v>
      </c>
      <c r="O11" s="14"/>
      <c r="P11" s="14">
        <f>8120+8120</f>
        <v>16240</v>
      </c>
      <c r="Q11" s="14">
        <f>1150</f>
        <v>1150</v>
      </c>
      <c r="R11" s="14"/>
      <c r="S11" s="14"/>
      <c r="T11" s="14"/>
      <c r="U11" s="14"/>
      <c r="V11" s="14"/>
      <c r="W11" s="14">
        <f>478</f>
        <v>478</v>
      </c>
      <c r="X11" s="14"/>
      <c r="Y11" s="14"/>
      <c r="Z11" s="14"/>
      <c r="AA11" s="14"/>
      <c r="AB11" s="14"/>
      <c r="AC11" s="14"/>
      <c r="AD11" s="15">
        <f>SUM(D11:AB11)</f>
        <v>125884.94</v>
      </c>
    </row>
    <row r="12" spans="3:30" x14ac:dyDescent="0.25">
      <c r="C12" s="2" t="s">
        <v>28</v>
      </c>
      <c r="D12" s="4">
        <f>12508.5+315303.51+2726.82+12508.5+312380.01</f>
        <v>655427.34000000008</v>
      </c>
      <c r="E12" s="4"/>
      <c r="F12" s="4"/>
      <c r="G12" s="4">
        <f>435.3+435.3+1066.04</f>
        <v>1936.6399999999999</v>
      </c>
      <c r="H12" s="4"/>
      <c r="I12" s="5"/>
      <c r="J12" s="4"/>
      <c r="K12" s="4"/>
      <c r="L12" s="4">
        <f>2244+77</f>
        <v>2321</v>
      </c>
      <c r="M12" s="5"/>
      <c r="N12" s="4"/>
      <c r="O12" s="4"/>
      <c r="P12" s="4">
        <f>2688</f>
        <v>2688</v>
      </c>
      <c r="Q12" s="4">
        <f>909.56+1122.28+1034.85+200</f>
        <v>3266.6899999999996</v>
      </c>
      <c r="R12" s="4"/>
      <c r="S12" s="4">
        <f>469.6</f>
        <v>469.6</v>
      </c>
      <c r="T12" s="4"/>
      <c r="U12" s="4">
        <f>3544</f>
        <v>3544</v>
      </c>
      <c r="V12" s="4">
        <f>7740.01</f>
        <v>7740.01</v>
      </c>
      <c r="W12" s="4"/>
      <c r="X12" s="4">
        <f>282.7</f>
        <v>282.7</v>
      </c>
      <c r="Y12" s="4"/>
      <c r="Z12" s="4"/>
      <c r="AA12" s="4"/>
      <c r="AB12" s="4"/>
      <c r="AC12" s="4"/>
      <c r="AD12" s="15">
        <f t="shared" si="0"/>
        <v>677675.98</v>
      </c>
    </row>
    <row r="13" spans="3:30" x14ac:dyDescent="0.25">
      <c r="C13" s="2" t="s">
        <v>29</v>
      </c>
      <c r="D13" s="14">
        <f>9785.33+2726.82</f>
        <v>12512.15</v>
      </c>
      <c r="E13" s="14"/>
      <c r="F13" s="14"/>
      <c r="G13" s="14"/>
      <c r="H13" s="14"/>
      <c r="I13" s="14"/>
      <c r="J13" s="14">
        <f>20024.3+20024.3</f>
        <v>40048.6</v>
      </c>
      <c r="K13" s="14">
        <f>34252.11+34252.11</f>
        <v>68504.22</v>
      </c>
      <c r="L13" s="14"/>
      <c r="M13" s="14"/>
      <c r="N13" s="14">
        <f>96128</f>
        <v>96128</v>
      </c>
      <c r="O13" s="14">
        <f>89942.61</f>
        <v>89942.61</v>
      </c>
      <c r="P13" s="14">
        <f>145</f>
        <v>145</v>
      </c>
      <c r="Q13" s="14"/>
      <c r="R13" s="14"/>
      <c r="S13" s="14"/>
      <c r="T13" s="14"/>
      <c r="U13" s="14">
        <f>1400</f>
        <v>1400</v>
      </c>
      <c r="V13" s="14">
        <f>23954</f>
        <v>23954</v>
      </c>
      <c r="W13" s="14"/>
      <c r="X13" s="14"/>
      <c r="Y13" s="14"/>
      <c r="Z13" s="4">
        <f>19211</f>
        <v>19211</v>
      </c>
      <c r="AA13" s="4"/>
      <c r="AB13" s="4"/>
      <c r="AC13" s="4"/>
      <c r="AD13" s="15">
        <f t="shared" si="0"/>
        <v>351845.58</v>
      </c>
    </row>
    <row r="14" spans="3:30" x14ac:dyDescent="0.25">
      <c r="C14" s="2" t="s">
        <v>30</v>
      </c>
      <c r="D14" s="4">
        <f>2726.82+12508.5+310729.9+299884.44+2726.82+12508.5</f>
        <v>641084.98</v>
      </c>
      <c r="E14" s="4"/>
      <c r="F14" s="4"/>
      <c r="G14" s="4">
        <f>435.3+435.3+1079.96</f>
        <v>1950.56</v>
      </c>
      <c r="H14" s="4"/>
      <c r="I14" s="4"/>
      <c r="J14" s="4"/>
      <c r="K14" s="5"/>
      <c r="L14" s="4">
        <f>3157+5512+154</f>
        <v>8823</v>
      </c>
      <c r="M14" s="4"/>
      <c r="N14" s="4"/>
      <c r="O14" s="4"/>
      <c r="P14" s="4">
        <f>165+8120+8120+8120+8120</f>
        <v>32645</v>
      </c>
      <c r="Q14" s="5">
        <f>1056.04+2279.2+775+12000</f>
        <v>16110.24</v>
      </c>
      <c r="R14" s="5"/>
      <c r="S14" s="5">
        <f>338.5</f>
        <v>338.5</v>
      </c>
      <c r="T14" s="5"/>
      <c r="U14" s="5"/>
      <c r="V14" s="5"/>
      <c r="W14" s="4"/>
      <c r="X14" s="5"/>
      <c r="Y14" s="5"/>
      <c r="Z14" s="5"/>
      <c r="AA14" s="5"/>
      <c r="AB14" s="5"/>
      <c r="AC14" s="5"/>
      <c r="AD14" s="15">
        <f t="shared" si="0"/>
        <v>700952.28</v>
      </c>
    </row>
    <row r="15" spans="3:30" x14ac:dyDescent="0.25">
      <c r="C15" s="2" t="s">
        <v>31</v>
      </c>
      <c r="D15" s="4">
        <f>10428.59</f>
        <v>10428.59</v>
      </c>
      <c r="E15" s="4"/>
      <c r="F15" s="4"/>
      <c r="G15" s="4"/>
      <c r="H15" s="5">
        <f>39558</f>
        <v>39558</v>
      </c>
      <c r="I15" s="5"/>
      <c r="J15" s="4">
        <f>20024.3</f>
        <v>20024.3</v>
      </c>
      <c r="K15" s="4"/>
      <c r="L15" s="4">
        <f>1001+841</f>
        <v>1842</v>
      </c>
      <c r="M15" s="4"/>
      <c r="N15" s="5">
        <f>94381</f>
        <v>94381</v>
      </c>
      <c r="O15" s="5">
        <v>87357.89</v>
      </c>
      <c r="P15" s="4"/>
      <c r="Q15" s="4">
        <f>1950</f>
        <v>1950</v>
      </c>
      <c r="R15" s="4"/>
      <c r="S15" s="4"/>
      <c r="T15" s="5"/>
      <c r="U15" s="5"/>
      <c r="V15" s="5"/>
      <c r="W15" s="4"/>
      <c r="X15" s="4"/>
      <c r="Y15" s="5"/>
      <c r="Z15" s="4">
        <f>18761</f>
        <v>18761</v>
      </c>
      <c r="AA15" s="5"/>
      <c r="AB15" s="5"/>
      <c r="AC15" s="5"/>
      <c r="AD15" s="15">
        <f t="shared" si="0"/>
        <v>274302.78000000003</v>
      </c>
    </row>
    <row r="16" spans="3:30" x14ac:dyDescent="0.25">
      <c r="C16" s="2" t="s">
        <v>32</v>
      </c>
      <c r="D16" s="4">
        <f>2727.77+297548.42+12508.5+2727.77+293406.2+12508.5</f>
        <v>621427.16</v>
      </c>
      <c r="E16" s="5"/>
      <c r="F16" s="4">
        <v>670</v>
      </c>
      <c r="G16" s="4">
        <f>435.3+435.3+1820.04</f>
        <v>2690.64</v>
      </c>
      <c r="H16" s="4">
        <f>33974</f>
        <v>33974</v>
      </c>
      <c r="I16" s="4"/>
      <c r="J16" s="4">
        <v>7982.67</v>
      </c>
      <c r="K16" s="5"/>
      <c r="L16" s="4"/>
      <c r="M16" s="5"/>
      <c r="N16" s="4"/>
      <c r="O16" s="4"/>
      <c r="P16" s="4"/>
      <c r="Q16" s="4">
        <f>3000+4000+4000</f>
        <v>11000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15">
        <f t="shared" si="0"/>
        <v>677744.47000000009</v>
      </c>
    </row>
    <row r="17" spans="3:33" x14ac:dyDescent="0.25">
      <c r="C17" s="2" t="s">
        <v>33</v>
      </c>
      <c r="D17" s="14">
        <f>10428.59</f>
        <v>10428.59</v>
      </c>
      <c r="E17" s="14">
        <f>6334</f>
        <v>6334</v>
      </c>
      <c r="F17" s="14"/>
      <c r="G17" s="14"/>
      <c r="H17" s="14"/>
      <c r="I17" s="18"/>
      <c r="J17" s="14"/>
      <c r="K17" s="14">
        <f>34252.11+34252.11</f>
        <v>68504.22</v>
      </c>
      <c r="L17" s="4">
        <f>1343+154</f>
        <v>1497</v>
      </c>
      <c r="M17" s="4">
        <f>1533.08</f>
        <v>1533.08</v>
      </c>
      <c r="N17" s="4">
        <f>90537</f>
        <v>90537</v>
      </c>
      <c r="O17" s="5">
        <f>83387.68</f>
        <v>83387.679999999993</v>
      </c>
      <c r="P17" s="4">
        <f>319.88+80</f>
        <v>399.88</v>
      </c>
      <c r="Q17" s="4">
        <f>1003+1150+600</f>
        <v>2753</v>
      </c>
      <c r="R17" s="4">
        <f>1056</f>
        <v>1056</v>
      </c>
      <c r="S17" s="5">
        <f>475</f>
        <v>475</v>
      </c>
      <c r="T17" s="5">
        <f>691.59</f>
        <v>691.59</v>
      </c>
      <c r="U17" s="5">
        <f>3710.06+3392.12+3828</f>
        <v>10930.18</v>
      </c>
      <c r="V17" s="5"/>
      <c r="W17" s="4">
        <f>316.01</f>
        <v>316.01</v>
      </c>
      <c r="X17" s="5"/>
      <c r="Y17" s="5"/>
      <c r="Z17" s="4">
        <f>18080</f>
        <v>18080</v>
      </c>
      <c r="AA17" s="5"/>
      <c r="AB17" s="5">
        <f>17551.72+2808.28</f>
        <v>20360</v>
      </c>
      <c r="AC17" s="5"/>
      <c r="AD17" s="15">
        <f>SUM(D17:AB17)</f>
        <v>317283.23000000004</v>
      </c>
    </row>
    <row r="18" spans="3:33" x14ac:dyDescent="0.25">
      <c r="C18" s="2" t="s">
        <v>34</v>
      </c>
      <c r="D18" s="4">
        <f>12508.5+2727.77+300453.65+300453.35+12508.5+2727.77</f>
        <v>631379.54</v>
      </c>
      <c r="E18" s="5"/>
      <c r="F18" s="4"/>
      <c r="G18" s="4">
        <f>435.3+435.3+2423.24</f>
        <v>3293.8399999999997</v>
      </c>
      <c r="H18" s="4"/>
      <c r="I18" s="5">
        <f>6820.7+7179.17</f>
        <v>13999.869999999999</v>
      </c>
      <c r="J18" s="4">
        <f>20024.3+20024.3</f>
        <v>40048.6</v>
      </c>
      <c r="K18" s="4">
        <f>34252.11+34252.11</f>
        <v>68504.22</v>
      </c>
      <c r="L18" s="4">
        <f>3998+405</f>
        <v>4403</v>
      </c>
      <c r="M18" s="5">
        <f>1533.08</f>
        <v>1533.08</v>
      </c>
      <c r="N18" s="4"/>
      <c r="O18" s="4"/>
      <c r="P18" s="5">
        <f>8120+2725</f>
        <v>10845</v>
      </c>
      <c r="Q18" s="5">
        <f>850+3000</f>
        <v>3850</v>
      </c>
      <c r="R18" s="4"/>
      <c r="S18" s="4"/>
      <c r="T18" s="4"/>
      <c r="U18" s="4">
        <f>5392.07</f>
        <v>5392.07</v>
      </c>
      <c r="V18" s="4"/>
      <c r="W18" s="4"/>
      <c r="X18" s="4"/>
      <c r="Y18" s="4"/>
      <c r="Z18" s="4"/>
      <c r="AA18" s="4">
        <f>62000</f>
        <v>62000</v>
      </c>
      <c r="AB18" s="4"/>
      <c r="AC18" s="4"/>
      <c r="AD18" s="15">
        <f>SUM(D18:AB18)</f>
        <v>845249.21999999986</v>
      </c>
    </row>
    <row r="19" spans="3:33" x14ac:dyDescent="0.25">
      <c r="C19" s="2" t="s">
        <v>35</v>
      </c>
      <c r="D19" s="4">
        <f>84558.46+1665.34+89128.23+18863.44+1168904.46+10428.59+6509.61+397319.88</f>
        <v>1777378.0100000002</v>
      </c>
      <c r="E19" s="5">
        <f>2689</f>
        <v>2689</v>
      </c>
      <c r="F19" s="4"/>
      <c r="G19" s="4"/>
      <c r="H19" s="5">
        <f>37617</f>
        <v>37617</v>
      </c>
      <c r="I19" s="4">
        <f>14247.54+9734.74</f>
        <v>23982.28</v>
      </c>
      <c r="J19" s="5"/>
      <c r="K19" s="4">
        <f>34252.11+34252.11</f>
        <v>68504.22</v>
      </c>
      <c r="L19" s="4">
        <f>276+386+770+3742+2894+1155+2512</f>
        <v>11735</v>
      </c>
      <c r="M19" s="5"/>
      <c r="N19" s="4">
        <f>93950</f>
        <v>93950</v>
      </c>
      <c r="O19" s="5"/>
      <c r="P19" s="5">
        <f>248826.96+147636+1450+12+321.71+40600+1740</f>
        <v>440586.67</v>
      </c>
      <c r="Q19" s="5">
        <f>1300+1050+2505.28</f>
        <v>4855.2800000000007</v>
      </c>
      <c r="R19" s="5"/>
      <c r="S19" s="4">
        <f>4740+3300+1237.81</f>
        <v>9277.81</v>
      </c>
      <c r="T19" s="4"/>
      <c r="U19" s="4"/>
      <c r="V19" s="4"/>
      <c r="W19" s="4"/>
      <c r="X19" s="4"/>
      <c r="Y19" s="4"/>
      <c r="Z19" s="4">
        <f>18416</f>
        <v>18416</v>
      </c>
      <c r="AA19" s="4"/>
      <c r="AB19" s="4"/>
      <c r="AC19" s="4"/>
      <c r="AD19" s="15">
        <f t="shared" si="0"/>
        <v>2488991.27</v>
      </c>
    </row>
    <row r="20" spans="3:33" x14ac:dyDescent="0.25">
      <c r="C20" s="2" t="s">
        <v>36</v>
      </c>
      <c r="D20" s="7">
        <f t="shared" ref="D20:AA20" si="1">SUM(D8:D19)</f>
        <v>5032414.8100000005</v>
      </c>
      <c r="E20" s="8">
        <f t="shared" si="1"/>
        <v>14859</v>
      </c>
      <c r="F20" s="8">
        <f t="shared" si="1"/>
        <v>670</v>
      </c>
      <c r="G20" s="8">
        <f t="shared" si="1"/>
        <v>12562.32</v>
      </c>
      <c r="H20" s="8">
        <f t="shared" si="1"/>
        <v>111149</v>
      </c>
      <c r="I20" s="8">
        <f t="shared" si="1"/>
        <v>54706.31</v>
      </c>
      <c r="J20" s="8">
        <f t="shared" si="1"/>
        <v>146612.45000000001</v>
      </c>
      <c r="K20" s="8">
        <f t="shared" si="1"/>
        <v>274016.88</v>
      </c>
      <c r="L20" s="8">
        <f t="shared" si="1"/>
        <v>34931.99</v>
      </c>
      <c r="M20" s="8">
        <f t="shared" si="1"/>
        <v>6078.3899999999994</v>
      </c>
      <c r="N20" s="7">
        <f t="shared" si="1"/>
        <v>607313</v>
      </c>
      <c r="O20" s="7">
        <f t="shared" si="1"/>
        <v>539509.97</v>
      </c>
      <c r="P20" s="7">
        <f t="shared" si="1"/>
        <v>522601.88</v>
      </c>
      <c r="Q20" s="7">
        <f t="shared" si="1"/>
        <v>55196.89</v>
      </c>
      <c r="R20" s="7">
        <f t="shared" si="1"/>
        <v>33854.06</v>
      </c>
      <c r="S20" s="7">
        <f t="shared" si="1"/>
        <v>11106.71</v>
      </c>
      <c r="T20" s="7">
        <f t="shared" si="1"/>
        <v>691.59</v>
      </c>
      <c r="U20" s="7">
        <f t="shared" si="1"/>
        <v>21266.25</v>
      </c>
      <c r="V20" s="7">
        <f t="shared" si="1"/>
        <v>31694.010000000002</v>
      </c>
      <c r="W20" s="7">
        <f t="shared" si="1"/>
        <v>1234.01</v>
      </c>
      <c r="X20" s="7">
        <f t="shared" si="1"/>
        <v>8483.85</v>
      </c>
      <c r="Y20" s="7">
        <f t="shared" si="1"/>
        <v>0</v>
      </c>
      <c r="Z20" s="7">
        <f t="shared" si="1"/>
        <v>103974</v>
      </c>
      <c r="AA20" s="7">
        <f t="shared" si="1"/>
        <v>62000</v>
      </c>
      <c r="AB20" s="7">
        <f>SUM(AB8:AB19)</f>
        <v>20360</v>
      </c>
      <c r="AC20" s="7"/>
      <c r="AD20" s="7">
        <f>SUM(AD8:AD19)</f>
        <v>7707287.370000001</v>
      </c>
    </row>
    <row r="22" spans="3:33" x14ac:dyDescent="0.25">
      <c r="AA22" t="s">
        <v>83</v>
      </c>
      <c r="AD22" s="9">
        <v>7707761</v>
      </c>
    </row>
    <row r="23" spans="3:33" x14ac:dyDescent="0.25">
      <c r="AA23" t="s">
        <v>84</v>
      </c>
      <c r="AD23" s="9">
        <v>643142</v>
      </c>
    </row>
    <row r="24" spans="3:33" x14ac:dyDescent="0.25">
      <c r="AA24" t="s">
        <v>66</v>
      </c>
      <c r="AD24" s="9">
        <f>SUM(AD22:AD23)</f>
        <v>8350903</v>
      </c>
    </row>
    <row r="25" spans="3:33" x14ac:dyDescent="0.25">
      <c r="AA25" t="s">
        <v>65</v>
      </c>
      <c r="AD25" s="9">
        <v>7707287.3700000001</v>
      </c>
    </row>
    <row r="26" spans="3:33" x14ac:dyDescent="0.25">
      <c r="AA26" t="s">
        <v>93</v>
      </c>
      <c r="AD26" s="9">
        <f>AD24-AD25</f>
        <v>643615.62999999989</v>
      </c>
    </row>
    <row r="27" spans="3:33" x14ac:dyDescent="0.25">
      <c r="AD27" s="9"/>
    </row>
    <row r="28" spans="3:33" x14ac:dyDescent="0.25">
      <c r="AD28" s="9"/>
    </row>
    <row r="29" spans="3:33" x14ac:dyDescent="0.25">
      <c r="AD29" s="9"/>
    </row>
    <row r="30" spans="3:33" x14ac:dyDescent="0.25">
      <c r="AA30" t="s">
        <v>74</v>
      </c>
      <c r="AD30" s="4">
        <v>643615.63</v>
      </c>
      <c r="AF30" s="17"/>
      <c r="AG30" s="17"/>
    </row>
    <row r="31" spans="3:33" x14ac:dyDescent="0.25">
      <c r="AA31" t="s">
        <v>72</v>
      </c>
      <c r="AD31" s="9">
        <v>473.63</v>
      </c>
    </row>
    <row r="32" spans="3:33" x14ac:dyDescent="0.25">
      <c r="AA32" t="s">
        <v>73</v>
      </c>
      <c r="AD32" s="9">
        <v>321571</v>
      </c>
    </row>
    <row r="33" spans="3:31" x14ac:dyDescent="0.25">
      <c r="AD33" s="9"/>
    </row>
    <row r="34" spans="3:31" x14ac:dyDescent="0.25">
      <c r="AD34" s="9"/>
    </row>
    <row r="35" spans="3:31" x14ac:dyDescent="0.25">
      <c r="AD35" s="9"/>
    </row>
    <row r="36" spans="3:31" x14ac:dyDescent="0.25">
      <c r="AA36" t="s">
        <v>75</v>
      </c>
      <c r="AD36" s="6">
        <f>AD30-AD31-AD32-AD33-AD34</f>
        <v>321571</v>
      </c>
    </row>
    <row r="38" spans="3:31" s="11" customFormat="1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3:31" s="11" customFormat="1" x14ac:dyDescent="0.25">
      <c r="C39" s="10"/>
      <c r="D39" s="10"/>
      <c r="E39" s="10"/>
      <c r="F39" s="10"/>
      <c r="G39" s="12"/>
      <c r="H39" s="10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20"/>
    </row>
    <row r="40" spans="3:31" s="11" customFormat="1" x14ac:dyDescent="0.25">
      <c r="C40" s="10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3:31" s="11" customFormat="1" x14ac:dyDescent="0.25">
      <c r="C41" s="10"/>
      <c r="D41" s="13"/>
      <c r="H41" s="13"/>
      <c r="J41" s="13"/>
      <c r="L41" s="13"/>
      <c r="N41" s="13"/>
      <c r="O41" s="13"/>
      <c r="AD41" s="13"/>
    </row>
    <row r="42" spans="3:31" s="11" customFormat="1" x14ac:dyDescent="0.25">
      <c r="C42" s="1" t="s">
        <v>37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3:31" s="11" customFormat="1" ht="60" x14ac:dyDescent="0.25">
      <c r="C43" s="2" t="s">
        <v>2</v>
      </c>
      <c r="D43" s="2" t="s">
        <v>3</v>
      </c>
      <c r="E43" s="2" t="s">
        <v>4</v>
      </c>
      <c r="F43" s="2" t="s">
        <v>68</v>
      </c>
      <c r="G43" s="3" t="s">
        <v>5</v>
      </c>
      <c r="H43" s="2" t="s">
        <v>6</v>
      </c>
      <c r="I43" s="3" t="s">
        <v>7</v>
      </c>
      <c r="J43" s="3" t="s">
        <v>8</v>
      </c>
      <c r="K43" s="3" t="s">
        <v>9</v>
      </c>
      <c r="L43" s="3" t="s">
        <v>10</v>
      </c>
      <c r="M43" s="3" t="s">
        <v>11</v>
      </c>
      <c r="N43" s="3" t="s">
        <v>12</v>
      </c>
      <c r="O43" s="3" t="s">
        <v>13</v>
      </c>
      <c r="P43" s="3" t="s">
        <v>14</v>
      </c>
      <c r="Q43" s="3" t="s">
        <v>15</v>
      </c>
      <c r="R43" s="3" t="s">
        <v>38</v>
      </c>
      <c r="S43" s="3" t="s">
        <v>40</v>
      </c>
      <c r="T43" s="3" t="s">
        <v>17</v>
      </c>
      <c r="U43" s="3" t="s">
        <v>18</v>
      </c>
      <c r="V43" s="3" t="s">
        <v>42</v>
      </c>
      <c r="W43" s="3" t="s">
        <v>19</v>
      </c>
      <c r="X43" s="3" t="s">
        <v>20</v>
      </c>
      <c r="Y43" s="3" t="s">
        <v>22</v>
      </c>
      <c r="Z43" s="3" t="s">
        <v>21</v>
      </c>
      <c r="AA43" s="3" t="s">
        <v>39</v>
      </c>
      <c r="AB43" s="3" t="s">
        <v>70</v>
      </c>
      <c r="AC43" s="3" t="s">
        <v>71</v>
      </c>
      <c r="AD43" s="2" t="s">
        <v>23</v>
      </c>
    </row>
    <row r="44" spans="3:31" s="11" customFormat="1" x14ac:dyDescent="0.25">
      <c r="C44" s="2" t="s">
        <v>24</v>
      </c>
      <c r="D44" s="4">
        <f>310963.92+2581.43+12508.5</f>
        <v>326053.84999999998</v>
      </c>
      <c r="E44" s="4"/>
      <c r="F44" s="4"/>
      <c r="G44" s="5">
        <f>435.3</f>
        <v>435.3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14">
        <f>SUM(D44:AC44)</f>
        <v>326489.14999999997</v>
      </c>
    </row>
    <row r="45" spans="3:31" s="11" customFormat="1" x14ac:dyDescent="0.25">
      <c r="C45" s="2" t="s">
        <v>25</v>
      </c>
      <c r="D45" s="4">
        <f>310963.8+2581.43+12508.5+310963.92+2581.43+12508.5+12508.5+2581.92</f>
        <v>667198</v>
      </c>
      <c r="E45" s="4"/>
      <c r="F45" s="4"/>
      <c r="G45" s="5">
        <f>435.3+435.3+435.3</f>
        <v>1305.9000000000001</v>
      </c>
      <c r="H45" s="4"/>
      <c r="I45" s="4"/>
      <c r="J45" s="4"/>
      <c r="K45" s="5"/>
      <c r="L45" s="4"/>
      <c r="M45" s="5"/>
      <c r="N45" s="4"/>
      <c r="O45" s="4"/>
      <c r="P45" s="4"/>
      <c r="Q45" s="4"/>
      <c r="R45" s="5"/>
      <c r="S45" s="5"/>
      <c r="T45" s="5"/>
      <c r="U45" s="4"/>
      <c r="V45" s="5"/>
      <c r="W45" s="4"/>
      <c r="X45" s="5"/>
      <c r="Y45" s="4"/>
      <c r="Z45" s="5"/>
      <c r="AA45" s="5"/>
      <c r="AB45" s="5"/>
      <c r="AC45" s="5"/>
      <c r="AD45" s="14">
        <f t="shared" ref="AD45:AD55" si="2">SUM(D45:AC45)</f>
        <v>668503.9</v>
      </c>
    </row>
    <row r="46" spans="3:31" s="11" customFormat="1" x14ac:dyDescent="0.25">
      <c r="C46" s="2" t="s">
        <v>26</v>
      </c>
      <c r="D46" s="4">
        <v>310985.49</v>
      </c>
      <c r="E46" s="4"/>
      <c r="F46" s="5"/>
      <c r="G46" s="4"/>
      <c r="H46" s="4">
        <f>8333</f>
        <v>8333</v>
      </c>
      <c r="I46" s="5"/>
      <c r="J46" s="4"/>
      <c r="K46" s="4">
        <f>32934.72+32934.72</f>
        <v>65869.440000000002</v>
      </c>
      <c r="L46" s="4">
        <f>702+1921</f>
        <v>2623</v>
      </c>
      <c r="M46" s="4">
        <f>1624.15</f>
        <v>1624.15</v>
      </c>
      <c r="N46" s="4"/>
      <c r="O46" s="4"/>
      <c r="P46" s="5"/>
      <c r="Q46" s="4">
        <f>2132.18+10000</f>
        <v>12132.18</v>
      </c>
      <c r="R46" s="4"/>
      <c r="S46" s="4"/>
      <c r="T46" s="4"/>
      <c r="U46" s="4">
        <f>790</f>
        <v>790</v>
      </c>
      <c r="V46" s="5"/>
      <c r="W46" s="4"/>
      <c r="X46" s="5"/>
      <c r="Y46" s="5"/>
      <c r="Z46" s="4"/>
      <c r="AA46" s="4"/>
      <c r="AB46" s="4"/>
      <c r="AC46" s="4"/>
      <c r="AD46" s="14">
        <f t="shared" si="2"/>
        <v>402357.26</v>
      </c>
    </row>
    <row r="47" spans="3:31" s="11" customFormat="1" x14ac:dyDescent="0.25">
      <c r="C47" s="2" t="s">
        <v>27</v>
      </c>
      <c r="D47" s="14">
        <f>316760.29+2727.88+12508.5+315330.06+12508.5</f>
        <v>659835.23</v>
      </c>
      <c r="E47" s="4">
        <f>3174</f>
        <v>3174</v>
      </c>
      <c r="F47" s="5"/>
      <c r="G47" s="4">
        <f>435.3+435.3+1820.04</f>
        <v>2690.64</v>
      </c>
      <c r="H47" s="4">
        <f>13007</f>
        <v>13007</v>
      </c>
      <c r="I47" s="5"/>
      <c r="J47" s="5"/>
      <c r="K47" s="5"/>
      <c r="L47" s="14">
        <f>1565</f>
        <v>1565</v>
      </c>
      <c r="M47" s="5"/>
      <c r="N47" s="4"/>
      <c r="O47" s="14">
        <f>90492.59</f>
        <v>90492.59</v>
      </c>
      <c r="P47" s="4">
        <f>21204+1000</f>
        <v>22204</v>
      </c>
      <c r="Q47" s="4">
        <f>1531.97+2131.25+10000+2000</f>
        <v>15663.220000000001</v>
      </c>
      <c r="R47" s="5"/>
      <c r="S47" s="5"/>
      <c r="T47" s="5"/>
      <c r="U47" s="4"/>
      <c r="V47" s="4">
        <f>7895.01+7540</f>
        <v>15435.01</v>
      </c>
      <c r="W47" s="4"/>
      <c r="X47" s="4">
        <f>5017</f>
        <v>5017</v>
      </c>
      <c r="Y47" s="5"/>
      <c r="Z47" s="4">
        <f>19357</f>
        <v>19357</v>
      </c>
      <c r="AA47" s="4"/>
      <c r="AB47" s="4"/>
      <c r="AC47" s="4"/>
      <c r="AD47" s="14">
        <f t="shared" si="2"/>
        <v>848440.69</v>
      </c>
      <c r="AE47" s="32"/>
    </row>
    <row r="48" spans="3:31" s="11" customFormat="1" x14ac:dyDescent="0.25">
      <c r="C48" s="2" t="s">
        <v>28</v>
      </c>
      <c r="D48" s="14">
        <f>9785.33+2727.88</f>
        <v>12513.21</v>
      </c>
      <c r="E48" s="4">
        <f>3128</f>
        <v>3128</v>
      </c>
      <c r="F48" s="5"/>
      <c r="G48" s="4"/>
      <c r="H48" s="4"/>
      <c r="I48" s="5"/>
      <c r="J48" s="5"/>
      <c r="K48" s="4"/>
      <c r="L48" s="14">
        <f>933+357+2425</f>
        <v>3715</v>
      </c>
      <c r="M48" s="4">
        <f>3163.56</f>
        <v>3163.56</v>
      </c>
      <c r="N48" s="4">
        <f>97195</f>
        <v>97195</v>
      </c>
      <c r="O48" s="4">
        <f>299723.24</f>
        <v>299723.24</v>
      </c>
      <c r="P48" s="4">
        <f>2900+145+32+4375.02+26505+770</f>
        <v>34727.020000000004</v>
      </c>
      <c r="Q48" s="14">
        <f>800+1097.53+12000+2000</f>
        <v>15897.53</v>
      </c>
      <c r="R48" s="4"/>
      <c r="S48" s="4"/>
      <c r="T48" s="5"/>
      <c r="U48" s="4">
        <f>3797.1+7106+5284.98+10126.56</f>
        <v>26314.639999999999</v>
      </c>
      <c r="V48" s="5"/>
      <c r="W48" s="4"/>
      <c r="X48" s="4">
        <f>5989.1</f>
        <v>5989.1</v>
      </c>
      <c r="Y48" s="5"/>
      <c r="Z48" s="4">
        <f>19357</f>
        <v>19357</v>
      </c>
      <c r="AA48" s="5"/>
      <c r="AB48" s="5"/>
      <c r="AC48" s="5"/>
      <c r="AD48" s="14">
        <f t="shared" si="2"/>
        <v>521723.30000000005</v>
      </c>
      <c r="AE48" s="32"/>
    </row>
    <row r="49" spans="3:32" s="11" customFormat="1" x14ac:dyDescent="0.25">
      <c r="C49" s="2" t="s">
        <v>29</v>
      </c>
      <c r="D49" s="14">
        <f>314694.43+12508.5+2726.82+2726.82+316437.6</f>
        <v>649094.16999999993</v>
      </c>
      <c r="E49" s="4">
        <f>3174</f>
        <v>3174</v>
      </c>
      <c r="F49" s="5"/>
      <c r="G49" s="4">
        <f>435.3+1066.04</f>
        <v>1501.34</v>
      </c>
      <c r="H49" s="4">
        <f>22735</f>
        <v>22735</v>
      </c>
      <c r="I49" s="5"/>
      <c r="J49" s="4"/>
      <c r="K49" s="5"/>
      <c r="L49" s="14">
        <f>5008.26</f>
        <v>5008.26</v>
      </c>
      <c r="M49" s="4">
        <f>1533.08</f>
        <v>1533.08</v>
      </c>
      <c r="N49" s="4"/>
      <c r="O49" s="14"/>
      <c r="P49" s="4">
        <f>1450+820+250+2194.72+520+7490.7</f>
        <v>12725.419999999998</v>
      </c>
      <c r="Q49" s="14">
        <f>12000+3000</f>
        <v>15000</v>
      </c>
      <c r="R49" s="4"/>
      <c r="S49" s="5"/>
      <c r="T49" s="4">
        <f>4344.2</f>
        <v>4344.2</v>
      </c>
      <c r="U49" s="4">
        <f>3260+6607.6+3620.48</f>
        <v>13488.08</v>
      </c>
      <c r="V49" s="4">
        <f>1728.4</f>
        <v>1728.4</v>
      </c>
      <c r="W49" s="4"/>
      <c r="X49" s="4"/>
      <c r="Y49" s="5"/>
      <c r="Z49" s="5"/>
      <c r="AA49" s="4"/>
      <c r="AB49" s="4"/>
      <c r="AC49" s="4"/>
      <c r="AD49" s="14">
        <f t="shared" si="2"/>
        <v>730331.94999999984</v>
      </c>
      <c r="AE49" s="32"/>
    </row>
    <row r="50" spans="3:32" s="11" customFormat="1" x14ac:dyDescent="0.25">
      <c r="C50" s="2" t="s">
        <v>30</v>
      </c>
      <c r="D50" s="14">
        <f>12508.5+9785.33</f>
        <v>22293.83</v>
      </c>
      <c r="E50" s="4">
        <f>3160</f>
        <v>3160</v>
      </c>
      <c r="F50" s="5"/>
      <c r="G50" s="4">
        <f>435.3</f>
        <v>435.3</v>
      </c>
      <c r="H50" s="4">
        <f>31348</f>
        <v>31348</v>
      </c>
      <c r="I50" s="5"/>
      <c r="J50" s="5"/>
      <c r="K50" s="4"/>
      <c r="L50" s="14">
        <f>1080</f>
        <v>1080</v>
      </c>
      <c r="M50" s="14"/>
      <c r="N50" s="4">
        <f>97537</f>
        <v>97537</v>
      </c>
      <c r="O50" s="4">
        <f>300945.88</f>
        <v>300945.88</v>
      </c>
      <c r="P50" s="4">
        <f>7192+500+1000+5510</f>
        <v>14202</v>
      </c>
      <c r="Q50" s="14">
        <f>1553.91+2000+500</f>
        <v>4053.91</v>
      </c>
      <c r="R50" s="5"/>
      <c r="S50" s="4">
        <f>2300</f>
        <v>2300</v>
      </c>
      <c r="T50" s="5"/>
      <c r="U50" s="4">
        <f>3944</f>
        <v>3944</v>
      </c>
      <c r="V50" s="5"/>
      <c r="W50" s="4"/>
      <c r="X50" s="4">
        <f>3701.87+5079.95</f>
        <v>8781.82</v>
      </c>
      <c r="Y50" s="5"/>
      <c r="Z50" s="4">
        <f>19399</f>
        <v>19399</v>
      </c>
      <c r="AA50" s="4">
        <f>13783</f>
        <v>13783</v>
      </c>
      <c r="AB50" s="5"/>
      <c r="AC50" s="5"/>
      <c r="AD50" s="14">
        <f t="shared" si="2"/>
        <v>523263.74</v>
      </c>
      <c r="AE50" s="32"/>
    </row>
    <row r="51" spans="3:32" s="11" customFormat="1" x14ac:dyDescent="0.25">
      <c r="C51" s="2" t="s">
        <v>31</v>
      </c>
      <c r="D51" s="14">
        <f>299884.52+12508.5+2726.82+12508.5+299884.44+2726.82</f>
        <v>630239.6</v>
      </c>
      <c r="E51" s="5">
        <f>3176</f>
        <v>3176</v>
      </c>
      <c r="F51" s="5">
        <f>670</f>
        <v>670</v>
      </c>
      <c r="G51" s="4">
        <f>435.3+435.3+1820.04</f>
        <v>2690.64</v>
      </c>
      <c r="H51" s="4"/>
      <c r="I51" s="5"/>
      <c r="J51" s="4">
        <f>20024.3</f>
        <v>20024.3</v>
      </c>
      <c r="K51" s="4">
        <f>34252.11+34252.11</f>
        <v>68504.22</v>
      </c>
      <c r="L51" s="14">
        <f>717+1100+1563+1309+231+383</f>
        <v>5303</v>
      </c>
      <c r="M51" s="4">
        <f>3112.4</f>
        <v>3112.4</v>
      </c>
      <c r="N51" s="4"/>
      <c r="O51" s="14"/>
      <c r="P51" s="4">
        <f>280+23+2703.5+1450+1450+22736+3150</f>
        <v>31792.5</v>
      </c>
      <c r="Q51" s="14">
        <f>700+1795.91+200+250+2000+12000+3000</f>
        <v>19945.91</v>
      </c>
      <c r="R51" s="5"/>
      <c r="S51" s="5"/>
      <c r="T51" s="4">
        <f>5869.16</f>
        <v>5869.16</v>
      </c>
      <c r="U51" s="4">
        <f>159+8089.07+5275.34</f>
        <v>13523.41</v>
      </c>
      <c r="V51" s="4">
        <f>4.5</f>
        <v>4.5</v>
      </c>
      <c r="W51" s="4">
        <f>2000</f>
        <v>2000</v>
      </c>
      <c r="X51" s="4">
        <f>14964+9152.4</f>
        <v>24116.400000000001</v>
      </c>
      <c r="Y51" s="5"/>
      <c r="Z51" s="5"/>
      <c r="AA51" s="4"/>
      <c r="AB51" s="4"/>
      <c r="AC51" s="4"/>
      <c r="AD51" s="14">
        <f t="shared" si="2"/>
        <v>830972.04000000015</v>
      </c>
      <c r="AE51" s="32"/>
    </row>
    <row r="52" spans="3:32" s="11" customFormat="1" x14ac:dyDescent="0.25">
      <c r="C52" s="2" t="s">
        <v>32</v>
      </c>
      <c r="D52" s="14">
        <f>10428.59+304308.71</f>
        <v>314737.30000000005</v>
      </c>
      <c r="E52" s="14"/>
      <c r="F52" s="18"/>
      <c r="G52" s="14"/>
      <c r="H52" s="14"/>
      <c r="I52" s="18"/>
      <c r="J52" s="18"/>
      <c r="K52" s="14"/>
      <c r="L52" s="14">
        <f>3565+77</f>
        <v>3642</v>
      </c>
      <c r="M52" s="14">
        <f>1533.08</f>
        <v>1533.08</v>
      </c>
      <c r="N52" s="14">
        <f>95078</f>
        <v>95078</v>
      </c>
      <c r="O52" s="14"/>
      <c r="P52" s="14">
        <f>4176</f>
        <v>4176</v>
      </c>
      <c r="Q52" s="14">
        <f>12000+400+1008.42+3000</f>
        <v>16408.419999999998</v>
      </c>
      <c r="R52" s="18"/>
      <c r="S52" s="14">
        <f>1540.6+2549.99</f>
        <v>4090.5899999999997</v>
      </c>
      <c r="T52" s="18"/>
      <c r="U52" s="4">
        <f>3000</f>
        <v>3000</v>
      </c>
      <c r="V52" s="5"/>
      <c r="W52" s="4">
        <f>5705+199</f>
        <v>5904</v>
      </c>
      <c r="X52" s="4"/>
      <c r="Y52" s="5"/>
      <c r="Z52" s="4">
        <f>18396</f>
        <v>18396</v>
      </c>
      <c r="AA52" s="5"/>
      <c r="AB52" s="5"/>
      <c r="AC52" s="5"/>
      <c r="AD52" s="14">
        <f t="shared" si="2"/>
        <v>466965.39000000007</v>
      </c>
      <c r="AE52" s="32"/>
    </row>
    <row r="53" spans="3:32" s="11" customFormat="1" x14ac:dyDescent="0.25">
      <c r="C53" s="2" t="s">
        <v>33</v>
      </c>
      <c r="D53" s="14">
        <f>303034.76+2727.77+12508.5+350832.01+12508.5</f>
        <v>681611.54</v>
      </c>
      <c r="E53" s="4"/>
      <c r="F53" s="5">
        <f>670</f>
        <v>670</v>
      </c>
      <c r="G53" s="4">
        <f>435.3+435.3</f>
        <v>870.6</v>
      </c>
      <c r="H53" s="4">
        <f>36722</f>
        <v>36722</v>
      </c>
      <c r="I53" s="5"/>
      <c r="J53" s="4">
        <f>20024.3+20024.3</f>
        <v>40048.6</v>
      </c>
      <c r="K53" s="5"/>
      <c r="L53" s="14">
        <f>48+5578.15</f>
        <v>5626.15</v>
      </c>
      <c r="M53" s="5"/>
      <c r="N53" s="4"/>
      <c r="O53" s="4"/>
      <c r="P53" s="4">
        <f>366.64+669+25520+31620.4+6879.16+24360</f>
        <v>89415.2</v>
      </c>
      <c r="Q53" s="14">
        <f>12000+3000+2000+1101.54</f>
        <v>18101.54</v>
      </c>
      <c r="R53" s="4">
        <f>18687.92+3170.16</f>
        <v>21858.079999999998</v>
      </c>
      <c r="S53" s="5"/>
      <c r="T53" s="4">
        <f>9497.28+1446.98</f>
        <v>10944.26</v>
      </c>
      <c r="U53" s="4">
        <f>335.36</f>
        <v>335.36</v>
      </c>
      <c r="V53" s="5"/>
      <c r="W53" s="4">
        <f>2796+3088</f>
        <v>5884</v>
      </c>
      <c r="X53" s="4">
        <f>8451.9+199.35</f>
        <v>8651.25</v>
      </c>
      <c r="Y53" s="5"/>
      <c r="Z53" s="5"/>
      <c r="AA53" s="5"/>
      <c r="AB53" s="5"/>
      <c r="AC53" s="4">
        <v>18716</v>
      </c>
      <c r="AD53" s="14">
        <f t="shared" si="2"/>
        <v>939454.58</v>
      </c>
      <c r="AE53" s="32"/>
    </row>
    <row r="54" spans="3:32" s="11" customFormat="1" x14ac:dyDescent="0.25">
      <c r="C54" s="2" t="s">
        <v>34</v>
      </c>
      <c r="D54" s="14">
        <f>3901.35+299396.78+10428.59</f>
        <v>313726.72000000003</v>
      </c>
      <c r="E54" s="14">
        <f>3175</f>
        <v>3175</v>
      </c>
      <c r="F54" s="5"/>
      <c r="G54" s="4"/>
      <c r="H54" s="14">
        <f>45144</f>
        <v>45144</v>
      </c>
      <c r="I54" s="5"/>
      <c r="J54" s="5"/>
      <c r="K54" s="4"/>
      <c r="L54" s="14">
        <f>4171.9+714+335+1463+9738.9+774.98</f>
        <v>17197.78</v>
      </c>
      <c r="M54" s="4"/>
      <c r="N54" s="14">
        <f>106776</f>
        <v>106776</v>
      </c>
      <c r="O54" s="5"/>
      <c r="P54" s="14">
        <f>4845.33+10112+14942.98+670+1450+7090.01</f>
        <v>39110.32</v>
      </c>
      <c r="Q54" s="14">
        <f>3000+1420.32+2000+900.15+500+12000</f>
        <v>19820.47</v>
      </c>
      <c r="R54" s="14">
        <f>11112+5510</f>
        <v>16622</v>
      </c>
      <c r="S54" s="14">
        <f>248</f>
        <v>248</v>
      </c>
      <c r="T54" s="14">
        <f>2365.27</f>
        <v>2365.27</v>
      </c>
      <c r="U54" s="4"/>
      <c r="V54" s="5"/>
      <c r="W54" s="4">
        <f>6148+880+1200+4772.7+389.16</f>
        <v>13389.86</v>
      </c>
      <c r="X54" s="4"/>
      <c r="Y54" s="4">
        <f>2900</f>
        <v>2900</v>
      </c>
      <c r="Z54" s="14">
        <f>20349</f>
        <v>20349</v>
      </c>
      <c r="AA54" s="14">
        <f>9000</f>
        <v>9000</v>
      </c>
      <c r="AB54" s="5"/>
      <c r="AC54" s="5"/>
      <c r="AD54" s="14">
        <f t="shared" si="2"/>
        <v>609824.41999999993</v>
      </c>
      <c r="AE54" s="32"/>
    </row>
    <row r="55" spans="3:32" s="11" customFormat="1" x14ac:dyDescent="0.25">
      <c r="C55" s="2" t="s">
        <v>35</v>
      </c>
      <c r="D55" s="14">
        <f>298675.49+318010.03+3042.67+12508.5+2727.77+302588.21+12508.5</f>
        <v>950061.17000000016</v>
      </c>
      <c r="E55" s="4"/>
      <c r="F55" s="5">
        <f>670</f>
        <v>670</v>
      </c>
      <c r="G55" s="4">
        <f>435.3+435.3+1612.4</f>
        <v>2483</v>
      </c>
      <c r="H55" s="4"/>
      <c r="I55" s="5"/>
      <c r="J55" s="4">
        <f>20024.3+20024.3</f>
        <v>40048.6</v>
      </c>
      <c r="K55" s="5"/>
      <c r="L55" s="5">
        <f>746+1470+252+832+693</f>
        <v>3993</v>
      </c>
      <c r="M55" s="4">
        <f>1533.08</f>
        <v>1533.08</v>
      </c>
      <c r="N55" s="5">
        <f>355967</f>
        <v>355967</v>
      </c>
      <c r="O55" s="4"/>
      <c r="P55" s="4">
        <f>175+108.89</f>
        <v>283.89</v>
      </c>
      <c r="Q55" s="14">
        <f>3000+2000+800+854.06+1013.08+1200.11+12000+1000</f>
        <v>21867.25</v>
      </c>
      <c r="R55" s="5">
        <f>3598</f>
        <v>3598</v>
      </c>
      <c r="S55" s="5">
        <f>637.5+412.35</f>
        <v>1049.8499999999999</v>
      </c>
      <c r="T55" s="5"/>
      <c r="U55" s="5">
        <f>11491.95+10320</f>
        <v>21811.95</v>
      </c>
      <c r="V55" s="5"/>
      <c r="W55" s="5">
        <f>1668.5</f>
        <v>1668.5</v>
      </c>
      <c r="X55" s="4">
        <f>48.5+898.5+474</f>
        <v>1421</v>
      </c>
      <c r="Y55" s="5"/>
      <c r="Z55" s="5"/>
      <c r="AA55" s="4"/>
      <c r="AB55" s="4"/>
      <c r="AC55" s="4"/>
      <c r="AD55" s="14">
        <f t="shared" si="2"/>
        <v>1406456.29</v>
      </c>
      <c r="AE55" s="32"/>
    </row>
    <row r="56" spans="3:32" s="11" customFormat="1" x14ac:dyDescent="0.25">
      <c r="C56" s="2" t="s">
        <v>36</v>
      </c>
      <c r="D56" s="6">
        <f>SUM(D44:D55)</f>
        <v>5538350.1099999994</v>
      </c>
      <c r="E56" s="6">
        <f t="shared" ref="E56:AA56" si="3">SUM(E44:E55)</f>
        <v>18987</v>
      </c>
      <c r="F56" s="6">
        <f t="shared" si="3"/>
        <v>2010</v>
      </c>
      <c r="G56" s="6">
        <f>SUM(G44:G55)</f>
        <v>12412.720000000001</v>
      </c>
      <c r="H56" s="15">
        <f t="shared" si="3"/>
        <v>157289</v>
      </c>
      <c r="I56" s="15">
        <f t="shared" si="3"/>
        <v>0</v>
      </c>
      <c r="J56" s="15">
        <f>SUM(J44:J55)</f>
        <v>100121.5</v>
      </c>
      <c r="K56" s="15">
        <f t="shared" si="3"/>
        <v>134373.66</v>
      </c>
      <c r="L56" s="15">
        <f t="shared" si="3"/>
        <v>49753.19</v>
      </c>
      <c r="M56" s="15">
        <f t="shared" si="3"/>
        <v>12499.35</v>
      </c>
      <c r="N56" s="6">
        <f t="shared" si="3"/>
        <v>752553</v>
      </c>
      <c r="O56" s="6">
        <f t="shared" si="3"/>
        <v>691161.71</v>
      </c>
      <c r="P56" s="15">
        <f t="shared" si="3"/>
        <v>248636.35000000003</v>
      </c>
      <c r="Q56" s="15">
        <f t="shared" si="3"/>
        <v>158890.43</v>
      </c>
      <c r="R56" s="15">
        <f t="shared" si="3"/>
        <v>42078.080000000002</v>
      </c>
      <c r="S56" s="15">
        <f t="shared" si="3"/>
        <v>7688.4400000000005</v>
      </c>
      <c r="T56" s="15">
        <f t="shared" si="3"/>
        <v>23522.890000000003</v>
      </c>
      <c r="U56" s="15">
        <f t="shared" si="3"/>
        <v>83207.44</v>
      </c>
      <c r="V56" s="6">
        <f t="shared" si="3"/>
        <v>17167.91</v>
      </c>
      <c r="W56" s="6">
        <f t="shared" si="3"/>
        <v>28846.36</v>
      </c>
      <c r="X56" s="6">
        <f t="shared" si="3"/>
        <v>53976.57</v>
      </c>
      <c r="Y56" s="6">
        <f t="shared" si="3"/>
        <v>2900</v>
      </c>
      <c r="Z56" s="6">
        <f>SUM(Z44:Z55)</f>
        <v>96858</v>
      </c>
      <c r="AA56" s="15">
        <f t="shared" si="3"/>
        <v>22783</v>
      </c>
      <c r="AB56" s="15"/>
      <c r="AC56" s="15"/>
      <c r="AD56" s="6">
        <f>SUM(AD44:AD55)</f>
        <v>8274782.709999999</v>
      </c>
      <c r="AF56" s="19"/>
    </row>
    <row r="57" spans="3:32" s="11" customFormat="1" x14ac:dyDescent="0.25">
      <c r="C57"/>
      <c r="D57"/>
      <c r="E57"/>
      <c r="F57"/>
      <c r="G57"/>
      <c r="H57" s="16"/>
      <c r="I57" s="16"/>
      <c r="J57" s="16"/>
      <c r="K57" s="16"/>
      <c r="L57" s="16"/>
      <c r="M57" s="16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 s="17"/>
    </row>
    <row r="58" spans="3:32" s="11" customFormat="1" x14ac:dyDescent="0.2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 t="s">
        <v>79</v>
      </c>
      <c r="AD58" s="9">
        <v>7707761</v>
      </c>
    </row>
    <row r="59" spans="3:32" s="11" customFormat="1" x14ac:dyDescent="0.2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 t="s">
        <v>78</v>
      </c>
      <c r="AD59" s="9">
        <v>647180</v>
      </c>
    </row>
    <row r="60" spans="3:32" s="11" customFormat="1" x14ac:dyDescent="0.2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 t="s">
        <v>23</v>
      </c>
      <c r="AD60" s="9">
        <f>AD58+AD59</f>
        <v>8354941</v>
      </c>
    </row>
    <row r="61" spans="3:32" s="11" customFormat="1" x14ac:dyDescent="0.2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 t="s">
        <v>65</v>
      </c>
      <c r="AD61" s="21">
        <f>AD56</f>
        <v>8274782.709999999</v>
      </c>
    </row>
    <row r="62" spans="3:32" s="11" customFormat="1" x14ac:dyDescent="0.2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D62" s="17">
        <f>AD60-AD61</f>
        <v>80158.290000000969</v>
      </c>
    </row>
    <row r="63" spans="3:32" s="11" customFormat="1" x14ac:dyDescent="0.2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D63" s="17"/>
    </row>
    <row r="64" spans="3:32" s="11" customFormat="1" x14ac:dyDescent="0.2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D64" s="17"/>
    </row>
    <row r="65" spans="3:33" s="11" customFormat="1" x14ac:dyDescent="0.2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D65" s="17"/>
    </row>
    <row r="66" spans="3:33" s="11" customFormat="1" x14ac:dyDescent="0.2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t="s">
        <v>76</v>
      </c>
      <c r="AD66" s="6">
        <v>77159.69</v>
      </c>
    </row>
    <row r="67" spans="3:33" s="11" customFormat="1" x14ac:dyDescent="0.2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t="s">
        <v>80</v>
      </c>
      <c r="AD67" s="19">
        <v>2998.6</v>
      </c>
    </row>
    <row r="68" spans="3:33" s="11" customFormat="1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 t="s">
        <v>81</v>
      </c>
      <c r="AD68" s="19">
        <f>AD66+AD67</f>
        <v>80158.290000000008</v>
      </c>
    </row>
    <row r="69" spans="3:33" s="11" customFormat="1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 t="s">
        <v>58</v>
      </c>
      <c r="AD69" s="19">
        <v>70667</v>
      </c>
    </row>
    <row r="70" spans="3:33" s="11" customFormat="1" x14ac:dyDescent="0.2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 t="s">
        <v>85</v>
      </c>
      <c r="AD70" s="19">
        <v>3331.6</v>
      </c>
    </row>
    <row r="71" spans="3:33" s="11" customFormat="1" x14ac:dyDescent="0.2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 t="s">
        <v>82</v>
      </c>
      <c r="AD71" s="19">
        <v>6159.69</v>
      </c>
    </row>
    <row r="72" spans="3:33" s="11" customFormat="1" x14ac:dyDescent="0.2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D72" s="19"/>
    </row>
    <row r="73" spans="3:33" x14ac:dyDescent="0.25">
      <c r="AD73" s="9"/>
      <c r="AG73" t="s">
        <v>43</v>
      </c>
    </row>
    <row r="74" spans="3:33" x14ac:dyDescent="0.25">
      <c r="AD74" s="9"/>
    </row>
    <row r="75" spans="3:33" x14ac:dyDescent="0.25">
      <c r="AA75" t="s">
        <v>77</v>
      </c>
      <c r="AD75" s="19">
        <f>AD68-AD69-AD70-AD71</f>
        <v>8.1854523159563541E-12</v>
      </c>
    </row>
  </sheetData>
  <pageMargins left="0.70866141732283472" right="0.70866141732283472" top="0.74803149606299213" bottom="0.74803149606299213" header="0.31496062992125984" footer="0.31496062992125984"/>
  <pageSetup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57"/>
  <sheetViews>
    <sheetView workbookViewId="0">
      <selection activeCell="E61" sqref="E61"/>
    </sheetView>
  </sheetViews>
  <sheetFormatPr baseColWidth="10" defaultRowHeight="15" x14ac:dyDescent="0.25"/>
  <cols>
    <col min="2" max="2" width="55.140625" bestFit="1" customWidth="1"/>
    <col min="3" max="3" width="14.140625" bestFit="1" customWidth="1"/>
    <col min="5" max="5" width="54" customWidth="1"/>
    <col min="6" max="6" width="17.5703125" customWidth="1"/>
  </cols>
  <sheetData>
    <row r="4" spans="2:6" ht="21" x14ac:dyDescent="0.35">
      <c r="E4" s="24" t="s">
        <v>64</v>
      </c>
    </row>
    <row r="5" spans="2:6" ht="21" x14ac:dyDescent="0.35">
      <c r="E5" s="24" t="s">
        <v>67</v>
      </c>
    </row>
    <row r="9" spans="2:6" ht="18.75" x14ac:dyDescent="0.3">
      <c r="B9" s="25" t="s">
        <v>1</v>
      </c>
      <c r="C9" s="26"/>
      <c r="D9" s="27"/>
      <c r="E9" s="25" t="s">
        <v>37</v>
      </c>
      <c r="F9" s="26"/>
    </row>
    <row r="10" spans="2:6" x14ac:dyDescent="0.25">
      <c r="B10" s="5" t="s">
        <v>44</v>
      </c>
      <c r="C10" s="4">
        <v>5032414.8099999996</v>
      </c>
      <c r="E10" s="5" t="s">
        <v>44</v>
      </c>
      <c r="F10" s="4">
        <v>5538350.1100000003</v>
      </c>
    </row>
    <row r="11" spans="2:6" x14ac:dyDescent="0.25">
      <c r="B11" s="5" t="s">
        <v>45</v>
      </c>
      <c r="C11" s="4">
        <v>14859</v>
      </c>
      <c r="E11" s="5" t="s">
        <v>45</v>
      </c>
      <c r="F11" s="4">
        <v>18987</v>
      </c>
    </row>
    <row r="12" spans="2:6" x14ac:dyDescent="0.25">
      <c r="B12" s="5" t="s">
        <v>46</v>
      </c>
      <c r="C12" s="4">
        <v>0</v>
      </c>
      <c r="E12" s="5" t="s">
        <v>46</v>
      </c>
      <c r="F12" s="4">
        <v>0</v>
      </c>
    </row>
    <row r="13" spans="2:6" x14ac:dyDescent="0.25">
      <c r="B13" s="5" t="s">
        <v>68</v>
      </c>
      <c r="C13" s="4">
        <v>670</v>
      </c>
      <c r="E13" s="5" t="s">
        <v>68</v>
      </c>
      <c r="F13" s="4">
        <v>2010</v>
      </c>
    </row>
    <row r="14" spans="2:6" x14ac:dyDescent="0.25">
      <c r="B14" s="5" t="s">
        <v>5</v>
      </c>
      <c r="C14" s="4">
        <v>12562.32</v>
      </c>
      <c r="E14" s="5" t="s">
        <v>5</v>
      </c>
      <c r="F14" s="4">
        <v>12412.72</v>
      </c>
    </row>
    <row r="15" spans="2:6" x14ac:dyDescent="0.25">
      <c r="B15" s="5" t="s">
        <v>47</v>
      </c>
      <c r="C15" s="4">
        <v>111149</v>
      </c>
      <c r="E15" s="5" t="s">
        <v>47</v>
      </c>
      <c r="F15" s="4">
        <v>157289</v>
      </c>
    </row>
    <row r="16" spans="2:6" x14ac:dyDescent="0.25">
      <c r="B16" s="5" t="s">
        <v>48</v>
      </c>
      <c r="C16" s="4">
        <v>54706.31</v>
      </c>
      <c r="E16" s="5" t="s">
        <v>48</v>
      </c>
      <c r="F16" s="4">
        <v>0</v>
      </c>
    </row>
    <row r="17" spans="2:6" x14ac:dyDescent="0.25">
      <c r="B17" s="5" t="s">
        <v>49</v>
      </c>
      <c r="C17" s="4">
        <v>146612.45000000001</v>
      </c>
      <c r="E17" s="5" t="s">
        <v>49</v>
      </c>
      <c r="F17" s="4">
        <v>100121.5</v>
      </c>
    </row>
    <row r="18" spans="2:6" x14ac:dyDescent="0.25">
      <c r="B18" s="5" t="s">
        <v>50</v>
      </c>
      <c r="C18" s="4">
        <v>274016.88</v>
      </c>
      <c r="E18" s="5" t="s">
        <v>50</v>
      </c>
      <c r="F18" s="4">
        <v>134373.66</v>
      </c>
    </row>
    <row r="19" spans="2:6" x14ac:dyDescent="0.25">
      <c r="B19" s="5" t="s">
        <v>51</v>
      </c>
      <c r="C19" s="4">
        <v>34931.99</v>
      </c>
      <c r="E19" s="5" t="s">
        <v>51</v>
      </c>
      <c r="F19" s="4">
        <v>49753.19</v>
      </c>
    </row>
    <row r="20" spans="2:6" x14ac:dyDescent="0.25">
      <c r="B20" s="5" t="s">
        <v>11</v>
      </c>
      <c r="C20" s="4">
        <v>6078.39</v>
      </c>
      <c r="E20" s="5" t="s">
        <v>11</v>
      </c>
      <c r="F20" s="4">
        <v>12499.35</v>
      </c>
    </row>
    <row r="21" spans="2:6" x14ac:dyDescent="0.25">
      <c r="B21" s="5" t="s">
        <v>52</v>
      </c>
      <c r="C21" s="4">
        <v>607313</v>
      </c>
      <c r="E21" s="5" t="s">
        <v>52</v>
      </c>
      <c r="F21" s="4">
        <v>752553</v>
      </c>
    </row>
    <row r="22" spans="2:6" x14ac:dyDescent="0.25">
      <c r="B22" s="5" t="s">
        <v>13</v>
      </c>
      <c r="C22" s="4">
        <v>539509.97</v>
      </c>
      <c r="E22" s="5" t="s">
        <v>13</v>
      </c>
      <c r="F22" s="4">
        <v>691161.71</v>
      </c>
    </row>
    <row r="23" spans="2:6" x14ac:dyDescent="0.25">
      <c r="B23" s="5" t="s">
        <v>14</v>
      </c>
      <c r="C23" s="4">
        <v>522601.88</v>
      </c>
      <c r="E23" s="5" t="s">
        <v>14</v>
      </c>
      <c r="F23" s="4">
        <v>248636.35</v>
      </c>
    </row>
    <row r="24" spans="2:6" x14ac:dyDescent="0.25">
      <c r="B24" s="5" t="s">
        <v>53</v>
      </c>
      <c r="C24" s="4">
        <v>55196.89</v>
      </c>
      <c r="E24" s="5" t="s">
        <v>53</v>
      </c>
      <c r="F24" s="4">
        <v>158890.43</v>
      </c>
    </row>
    <row r="25" spans="2:6" x14ac:dyDescent="0.25">
      <c r="B25" s="5" t="s">
        <v>54</v>
      </c>
      <c r="C25" s="4">
        <v>33854.06</v>
      </c>
      <c r="E25" s="5" t="s">
        <v>54</v>
      </c>
      <c r="F25" s="4">
        <v>42078.080000000002</v>
      </c>
    </row>
    <row r="26" spans="2:6" x14ac:dyDescent="0.25">
      <c r="B26" s="5" t="s">
        <v>40</v>
      </c>
      <c r="C26" s="4">
        <v>11106.71</v>
      </c>
      <c r="E26" s="5" t="s">
        <v>40</v>
      </c>
      <c r="F26" s="4">
        <v>7688.44</v>
      </c>
    </row>
    <row r="27" spans="2:6" x14ac:dyDescent="0.25">
      <c r="B27" s="5" t="s">
        <v>17</v>
      </c>
      <c r="C27" s="4">
        <v>691.59</v>
      </c>
      <c r="E27" s="5" t="s">
        <v>17</v>
      </c>
      <c r="F27" s="4">
        <v>23522.89</v>
      </c>
    </row>
    <row r="28" spans="2:6" x14ac:dyDescent="0.25">
      <c r="B28" s="5" t="s">
        <v>55</v>
      </c>
      <c r="C28" s="4">
        <v>21266.25</v>
      </c>
      <c r="E28" s="5" t="s">
        <v>55</v>
      </c>
      <c r="F28" s="4">
        <v>83207.44</v>
      </c>
    </row>
    <row r="29" spans="2:6" x14ac:dyDescent="0.25">
      <c r="B29" s="5" t="s">
        <v>41</v>
      </c>
      <c r="C29" s="4">
        <v>31694.01</v>
      </c>
      <c r="E29" s="5" t="s">
        <v>41</v>
      </c>
      <c r="F29" s="4">
        <v>17167.91</v>
      </c>
    </row>
    <row r="30" spans="2:6" x14ac:dyDescent="0.25">
      <c r="B30" s="5" t="s">
        <v>56</v>
      </c>
      <c r="C30" s="4">
        <v>1234.01</v>
      </c>
      <c r="E30" s="5" t="s">
        <v>56</v>
      </c>
      <c r="F30" s="4">
        <v>28846.36</v>
      </c>
    </row>
    <row r="31" spans="2:6" x14ac:dyDescent="0.25">
      <c r="B31" s="5" t="s">
        <v>57</v>
      </c>
      <c r="C31" s="4">
        <v>8483.85</v>
      </c>
      <c r="E31" s="5" t="s">
        <v>57</v>
      </c>
      <c r="F31" s="4">
        <v>53976.57</v>
      </c>
    </row>
    <row r="32" spans="2:6" x14ac:dyDescent="0.25">
      <c r="B32" s="5" t="s">
        <v>22</v>
      </c>
      <c r="C32" s="4">
        <v>0</v>
      </c>
      <c r="E32" s="5" t="s">
        <v>22</v>
      </c>
      <c r="F32" s="4">
        <v>2900</v>
      </c>
    </row>
    <row r="33" spans="2:6" x14ac:dyDescent="0.25">
      <c r="B33" s="5" t="s">
        <v>58</v>
      </c>
      <c r="C33" s="4">
        <v>103974</v>
      </c>
      <c r="E33" s="5" t="s">
        <v>58</v>
      </c>
      <c r="F33" s="4">
        <v>96858</v>
      </c>
    </row>
    <row r="34" spans="2:6" x14ac:dyDescent="0.25">
      <c r="B34" s="5" t="s">
        <v>59</v>
      </c>
      <c r="C34" s="4">
        <v>62000</v>
      </c>
      <c r="E34" s="5" t="s">
        <v>59</v>
      </c>
      <c r="F34" s="4">
        <v>22783</v>
      </c>
    </row>
    <row r="35" spans="2:6" x14ac:dyDescent="0.25">
      <c r="B35" s="5" t="s">
        <v>70</v>
      </c>
      <c r="C35" s="4">
        <v>20360</v>
      </c>
      <c r="E35" s="5" t="s">
        <v>70</v>
      </c>
      <c r="F35" s="4"/>
    </row>
    <row r="36" spans="2:6" x14ac:dyDescent="0.25">
      <c r="B36" s="5"/>
      <c r="C36" s="4"/>
      <c r="E36" s="5" t="s">
        <v>71</v>
      </c>
      <c r="F36" s="4">
        <v>18716</v>
      </c>
    </row>
    <row r="37" spans="2:6" x14ac:dyDescent="0.25">
      <c r="B37" s="5" t="s">
        <v>23</v>
      </c>
      <c r="C37" s="4">
        <f>SUM(C10:C35)</f>
        <v>7707287.3699999973</v>
      </c>
      <c r="E37" s="5" t="s">
        <v>23</v>
      </c>
      <c r="F37" s="4">
        <f>SUM(F10:F36)</f>
        <v>8274782.7100000009</v>
      </c>
    </row>
    <row r="38" spans="2:6" x14ac:dyDescent="0.25">
      <c r="B38" s="11"/>
      <c r="C38" s="13"/>
    </row>
    <row r="40" spans="2:6" x14ac:dyDescent="0.25">
      <c r="B40" s="1" t="s">
        <v>83</v>
      </c>
      <c r="C40" s="30">
        <v>7707761</v>
      </c>
      <c r="E40" s="1" t="s">
        <v>89</v>
      </c>
      <c r="F40" s="29">
        <v>7707761</v>
      </c>
    </row>
    <row r="41" spans="2:6" x14ac:dyDescent="0.25">
      <c r="B41" s="1" t="s">
        <v>84</v>
      </c>
      <c r="C41" s="31">
        <v>643142</v>
      </c>
      <c r="E41" s="1" t="s">
        <v>78</v>
      </c>
      <c r="F41" s="33">
        <v>647180</v>
      </c>
    </row>
    <row r="42" spans="2:6" x14ac:dyDescent="0.25">
      <c r="B42" s="1" t="s">
        <v>23</v>
      </c>
      <c r="C42" s="30">
        <f>SUM(C40:C41)</f>
        <v>8350903</v>
      </c>
      <c r="E42" s="1" t="s">
        <v>23</v>
      </c>
      <c r="F42" s="34">
        <f>F40+F41</f>
        <v>8354941</v>
      </c>
    </row>
    <row r="43" spans="2:6" x14ac:dyDescent="0.25">
      <c r="B43" s="1" t="s">
        <v>65</v>
      </c>
      <c r="C43" s="31">
        <f>C37</f>
        <v>7707287.3699999973</v>
      </c>
      <c r="E43" s="1" t="s">
        <v>65</v>
      </c>
      <c r="F43" s="34">
        <f>F37</f>
        <v>8274782.7100000009</v>
      </c>
    </row>
    <row r="44" spans="2:6" x14ac:dyDescent="0.25">
      <c r="B44" s="1" t="s">
        <v>93</v>
      </c>
      <c r="C44" s="30">
        <f>C42-C43</f>
        <v>643615.63000000268</v>
      </c>
      <c r="E44" s="1" t="s">
        <v>93</v>
      </c>
      <c r="F44" s="34">
        <f>F42-F43</f>
        <v>80158.289999999106</v>
      </c>
    </row>
    <row r="45" spans="2:6" x14ac:dyDescent="0.25">
      <c r="C45" s="23"/>
    </row>
    <row r="46" spans="2:6" x14ac:dyDescent="0.25">
      <c r="B46" s="1" t="s">
        <v>86</v>
      </c>
      <c r="C46" s="29">
        <v>643615.63</v>
      </c>
      <c r="D46" s="1"/>
      <c r="E46" s="1" t="s">
        <v>76</v>
      </c>
      <c r="F46" s="29">
        <v>77159.69</v>
      </c>
    </row>
    <row r="47" spans="2:6" x14ac:dyDescent="0.25">
      <c r="C47" s="23"/>
      <c r="E47" s="1" t="s">
        <v>90</v>
      </c>
      <c r="F47" s="35">
        <v>2998.6</v>
      </c>
    </row>
    <row r="48" spans="2:6" x14ac:dyDescent="0.25">
      <c r="B48" t="s">
        <v>87</v>
      </c>
      <c r="C48" s="9">
        <v>473.63</v>
      </c>
      <c r="E48" s="1" t="s">
        <v>91</v>
      </c>
      <c r="F48" s="34">
        <f>F46+F47</f>
        <v>80158.290000000008</v>
      </c>
    </row>
    <row r="49" spans="2:6" x14ac:dyDescent="0.25">
      <c r="B49" t="s">
        <v>88</v>
      </c>
      <c r="C49" s="9">
        <v>321571</v>
      </c>
      <c r="E49" s="1"/>
      <c r="F49" s="17"/>
    </row>
    <row r="50" spans="2:6" x14ac:dyDescent="0.25">
      <c r="C50" s="9"/>
      <c r="E50" t="s">
        <v>58</v>
      </c>
      <c r="F50" s="9">
        <v>70667</v>
      </c>
    </row>
    <row r="51" spans="2:6" x14ac:dyDescent="0.25">
      <c r="C51" s="9"/>
      <c r="E51" t="s">
        <v>92</v>
      </c>
      <c r="F51" s="9">
        <v>3331.6</v>
      </c>
    </row>
    <row r="52" spans="2:6" x14ac:dyDescent="0.25">
      <c r="E52" t="s">
        <v>82</v>
      </c>
      <c r="F52" s="9">
        <v>6159.69</v>
      </c>
    </row>
    <row r="53" spans="2:6" x14ac:dyDescent="0.25">
      <c r="B53" s="1" t="s">
        <v>75</v>
      </c>
      <c r="C53" s="9">
        <f>C46-C48-C49-C50-C51</f>
        <v>321571</v>
      </c>
      <c r="F53" s="9"/>
    </row>
    <row r="55" spans="2:6" x14ac:dyDescent="0.25">
      <c r="B55" t="s">
        <v>94</v>
      </c>
      <c r="C55" s="9">
        <v>321571</v>
      </c>
      <c r="E55" s="1" t="s">
        <v>75</v>
      </c>
      <c r="F55" s="9">
        <f>F48-F50-F51-F52</f>
        <v>8.1854523159563541E-12</v>
      </c>
    </row>
    <row r="56" spans="2:6" x14ac:dyDescent="0.25">
      <c r="B56" t="s">
        <v>95</v>
      </c>
    </row>
    <row r="57" spans="2:6" x14ac:dyDescent="0.25">
      <c r="B57" s="1" t="s">
        <v>96</v>
      </c>
      <c r="C57" s="17">
        <f>C53-C55</f>
        <v>0</v>
      </c>
    </row>
  </sheetData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2"/>
  <sheetViews>
    <sheetView workbookViewId="0">
      <selection activeCell="E27" sqref="E27"/>
    </sheetView>
  </sheetViews>
  <sheetFormatPr baseColWidth="10" defaultRowHeight="15" x14ac:dyDescent="0.25"/>
  <cols>
    <col min="3" max="3" width="17.140625" customWidth="1"/>
    <col min="4" max="4" width="32.28515625" customWidth="1"/>
    <col min="5" max="5" width="31.28515625" customWidth="1"/>
    <col min="6" max="6" width="23.140625" customWidth="1"/>
    <col min="7" max="7" width="16.42578125" customWidth="1"/>
    <col min="9" max="9" width="18.5703125" customWidth="1"/>
    <col min="10" max="10" width="23.7109375" customWidth="1"/>
    <col min="11" max="11" width="22.5703125" customWidth="1"/>
    <col min="12" max="12" width="18" customWidth="1"/>
  </cols>
  <sheetData>
    <row r="3" spans="3:12" ht="21" x14ac:dyDescent="0.35">
      <c r="E3" s="24" t="s">
        <v>60</v>
      </c>
    </row>
    <row r="4" spans="3:12" ht="21" x14ac:dyDescent="0.35">
      <c r="E4" s="24" t="s">
        <v>67</v>
      </c>
    </row>
    <row r="8" spans="3:12" ht="21" x14ac:dyDescent="0.35">
      <c r="C8" s="28" t="s">
        <v>2</v>
      </c>
      <c r="D8" s="28" t="s">
        <v>61</v>
      </c>
      <c r="E8" s="28" t="s">
        <v>37</v>
      </c>
      <c r="F8" s="28" t="s">
        <v>62</v>
      </c>
      <c r="I8" s="10"/>
      <c r="J8" s="10"/>
      <c r="K8" s="10"/>
      <c r="L8" s="10"/>
    </row>
    <row r="9" spans="3:12" x14ac:dyDescent="0.25">
      <c r="C9" s="2" t="s">
        <v>24</v>
      </c>
      <c r="D9" s="4">
        <v>0</v>
      </c>
      <c r="E9" s="4">
        <v>406009</v>
      </c>
      <c r="F9" s="4">
        <f>D9+E9</f>
        <v>406009</v>
      </c>
      <c r="I9" s="10"/>
      <c r="J9" s="13"/>
      <c r="K9" s="13"/>
      <c r="L9" s="13"/>
    </row>
    <row r="10" spans="3:12" x14ac:dyDescent="0.25">
      <c r="C10" s="2" t="s">
        <v>25</v>
      </c>
      <c r="D10" s="4">
        <v>688011</v>
      </c>
      <c r="E10" s="4">
        <v>474724.5</v>
      </c>
      <c r="F10" s="4">
        <f t="shared" ref="F10:F21" si="0">D10+E10</f>
        <v>1162735.5</v>
      </c>
      <c r="I10" s="10"/>
      <c r="J10" s="13"/>
      <c r="K10" s="13"/>
      <c r="L10" s="13"/>
    </row>
    <row r="11" spans="3:12" x14ac:dyDescent="0.25">
      <c r="C11" s="2" t="s">
        <v>26</v>
      </c>
      <c r="D11" s="4">
        <v>688011</v>
      </c>
      <c r="E11" s="4">
        <v>536728</v>
      </c>
      <c r="F11" s="4">
        <f t="shared" si="0"/>
        <v>1224739</v>
      </c>
      <c r="I11" s="10"/>
      <c r="J11" s="13"/>
      <c r="K11" s="13"/>
      <c r="L11" s="13"/>
    </row>
    <row r="12" spans="3:12" x14ac:dyDescent="0.25">
      <c r="C12" s="2" t="s">
        <v>27</v>
      </c>
      <c r="D12" s="4">
        <v>688011</v>
      </c>
      <c r="E12" s="4">
        <v>990577</v>
      </c>
      <c r="F12" s="4">
        <f t="shared" si="0"/>
        <v>1678588</v>
      </c>
      <c r="I12" s="10"/>
      <c r="J12" s="13"/>
      <c r="K12" s="13"/>
      <c r="L12" s="13"/>
    </row>
    <row r="13" spans="3:12" x14ac:dyDescent="0.25">
      <c r="C13" s="2" t="s">
        <v>28</v>
      </c>
      <c r="D13" s="4">
        <v>688011</v>
      </c>
      <c r="E13" s="4">
        <v>688011</v>
      </c>
      <c r="F13" s="4">
        <f t="shared" si="0"/>
        <v>1376022</v>
      </c>
      <c r="I13" s="10"/>
      <c r="J13" s="13"/>
      <c r="K13" s="13"/>
      <c r="L13" s="13"/>
    </row>
    <row r="14" spans="3:12" x14ac:dyDescent="0.25">
      <c r="C14" s="2" t="s">
        <v>29</v>
      </c>
      <c r="D14" s="4">
        <v>688011</v>
      </c>
      <c r="E14" s="4">
        <v>688011</v>
      </c>
      <c r="F14" s="4">
        <f t="shared" si="0"/>
        <v>1376022</v>
      </c>
      <c r="I14" s="10"/>
      <c r="J14" s="13"/>
      <c r="K14" s="13"/>
      <c r="L14" s="13"/>
    </row>
    <row r="15" spans="3:12" x14ac:dyDescent="0.25">
      <c r="C15" s="2" t="s">
        <v>30</v>
      </c>
      <c r="D15" s="4">
        <v>688011</v>
      </c>
      <c r="E15" s="4">
        <v>688011</v>
      </c>
      <c r="F15" s="4">
        <f t="shared" si="0"/>
        <v>1376022</v>
      </c>
      <c r="I15" s="10"/>
      <c r="J15" s="13"/>
      <c r="K15" s="13"/>
      <c r="L15" s="13"/>
    </row>
    <row r="16" spans="3:12" x14ac:dyDescent="0.25">
      <c r="C16" s="2" t="s">
        <v>31</v>
      </c>
      <c r="D16" s="4">
        <v>688011</v>
      </c>
      <c r="E16" s="4">
        <v>688011</v>
      </c>
      <c r="F16" s="4">
        <f t="shared" si="0"/>
        <v>1376022</v>
      </c>
      <c r="I16" s="10"/>
      <c r="J16" s="13"/>
      <c r="K16" s="13"/>
      <c r="L16" s="13"/>
    </row>
    <row r="17" spans="3:12" x14ac:dyDescent="0.25">
      <c r="C17" s="2" t="s">
        <v>32</v>
      </c>
      <c r="D17" s="4">
        <v>688011</v>
      </c>
      <c r="E17" s="4">
        <v>688011</v>
      </c>
      <c r="F17" s="4">
        <f t="shared" si="0"/>
        <v>1376022</v>
      </c>
      <c r="I17" s="10"/>
      <c r="J17" s="13"/>
      <c r="K17" s="13"/>
      <c r="L17" s="13"/>
    </row>
    <row r="18" spans="3:12" x14ac:dyDescent="0.25">
      <c r="C18" s="2" t="s">
        <v>33</v>
      </c>
      <c r="D18" s="4">
        <v>1088011</v>
      </c>
      <c r="E18" s="4">
        <v>1088011</v>
      </c>
      <c r="F18" s="4">
        <f t="shared" si="0"/>
        <v>2176022</v>
      </c>
      <c r="I18" s="10"/>
      <c r="J18" s="13"/>
      <c r="K18" s="13"/>
      <c r="L18" s="13"/>
    </row>
    <row r="19" spans="3:12" x14ac:dyDescent="0.25">
      <c r="C19" s="2" t="s">
        <v>34</v>
      </c>
      <c r="D19" s="4">
        <v>1115662</v>
      </c>
      <c r="E19" s="4">
        <v>0</v>
      </c>
      <c r="F19" s="4">
        <f t="shared" si="0"/>
        <v>1115662</v>
      </c>
      <c r="I19" s="10"/>
      <c r="J19" s="13"/>
      <c r="K19" s="13"/>
      <c r="L19" s="13"/>
    </row>
    <row r="20" spans="3:12" x14ac:dyDescent="0.25">
      <c r="C20" s="2" t="s">
        <v>35</v>
      </c>
      <c r="D20" s="4">
        <v>643142</v>
      </c>
      <c r="E20" s="4">
        <v>771656.5</v>
      </c>
      <c r="F20" s="4">
        <f t="shared" si="0"/>
        <v>1414798.5</v>
      </c>
      <c r="I20" s="10"/>
      <c r="J20" s="13"/>
      <c r="K20" s="13"/>
      <c r="L20" s="13"/>
    </row>
    <row r="21" spans="3:12" x14ac:dyDescent="0.25">
      <c r="C21" s="2" t="s">
        <v>63</v>
      </c>
      <c r="D21" s="4">
        <f>SUM(D9:D20)</f>
        <v>8350903</v>
      </c>
      <c r="E21" s="4">
        <f>SUM(E9:E20)</f>
        <v>7707761</v>
      </c>
      <c r="F21" s="4">
        <f t="shared" si="0"/>
        <v>16058664</v>
      </c>
      <c r="I21" s="10"/>
      <c r="J21" s="13"/>
      <c r="K21" s="13"/>
      <c r="L21" s="13"/>
    </row>
    <row r="22" spans="3:12" x14ac:dyDescent="0.25">
      <c r="C22" s="11"/>
      <c r="D22" s="11"/>
      <c r="E22" s="11"/>
      <c r="F22" s="11"/>
      <c r="I22" s="11"/>
      <c r="J22" s="11"/>
      <c r="K22" s="11"/>
      <c r="L22" s="11"/>
    </row>
  </sheetData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UPVE</dc:creator>
  <cp:lastModifiedBy>Contabilidad</cp:lastModifiedBy>
  <cp:lastPrinted>2022-02-02T18:19:50Z</cp:lastPrinted>
  <dcterms:created xsi:type="dcterms:W3CDTF">2019-01-25T19:51:28Z</dcterms:created>
  <dcterms:modified xsi:type="dcterms:W3CDTF">2022-02-02T19:28:46Z</dcterms:modified>
</cp:coreProperties>
</file>